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192.168.2.20\docs\Pagaidu dokumenti\Renovācija_iepirkums\Altum_iepirkumi\26_Ed_Tise_48\"/>
    </mc:Choice>
  </mc:AlternateContent>
  <xr:revisionPtr revIDLastSave="0" documentId="8_{74F25FE4-B385-40D9-80C8-336FB9D7D5D6}" xr6:coauthVersionLast="32" xr6:coauthVersionMax="32" xr10:uidLastSave="{00000000-0000-0000-0000-000000000000}"/>
  <bookViews>
    <workbookView xWindow="0" yWindow="0" windowWidth="14625" windowHeight="11880" tabRatio="990" activeTab="5" xr2:uid="{00000000-000D-0000-FFFF-FFFF00000000}"/>
  </bookViews>
  <sheets>
    <sheet name="KPDV" sheetId="1" r:id="rId1"/>
    <sheet name="AR" sheetId="2" r:id="rId2"/>
    <sheet name="apjomi" sheetId="3" state="hidden" r:id="rId3"/>
    <sheet name="Logi" sheetId="4" r:id="rId4"/>
    <sheet name="pagrabs" sheetId="5" r:id="rId5"/>
    <sheet name="cokols" sheetId="6" r:id="rId6"/>
    <sheet name="BK" sheetId="7" r:id="rId7"/>
    <sheet name="jumts" sheetId="8" r:id="rId8"/>
    <sheet name="ieejas" sheetId="9" r:id="rId9"/>
    <sheet name="lodz" sheetId="10" r:id="rId10"/>
    <sheet name="AVK" sheetId="11" r:id="rId11"/>
    <sheet name="zibens" sheetId="12" r:id="rId12"/>
    <sheet name="GA" sheetId="13" r:id="rId13"/>
  </sheets>
  <definedNames>
    <definedName name="_FilterDatabase_0" localSheetId="1">AR!$A$13:$Q$67</definedName>
    <definedName name="_xlnm._FilterDatabase" localSheetId="1">AR!$A$13:$Q$67</definedName>
    <definedName name="_xlnm.Print_Area" localSheetId="1">AR!$A$1:$Q$77</definedName>
    <definedName name="_xlnm.Print_Area" localSheetId="10">AVK!$A$1:$Q$250</definedName>
    <definedName name="_xlnm.Print_Area" localSheetId="6">BK!$A$1:$Q$29</definedName>
    <definedName name="_xlnm.Print_Area" localSheetId="5">cokols!$A$1:$Q$56</definedName>
    <definedName name="_xlnm.Print_Area" localSheetId="8">ieejas!$A$1:$Q$57</definedName>
    <definedName name="_xlnm.Print_Area" localSheetId="7">jumts!$A$1:$Q$118</definedName>
    <definedName name="_xlnm.Print_Area" localSheetId="0">KPDV!$A$1:$G$38</definedName>
    <definedName name="_xlnm.Print_Area" localSheetId="4">pagrabs!$A$1:$Q$33</definedName>
    <definedName name="Excel_BuiltIn__FilterDatabase" localSheetId="5">cokols!$A$13:$Q$46</definedName>
    <definedName name="Excel_BuiltIn__FilterDatabase" localSheetId="9">lodz!$A$13:$IP$62</definedName>
    <definedName name="Excel_BuiltIn__FilterDatabase" localSheetId="4">pagrabs!$A$13:$Q$23</definedName>
    <definedName name="Print_Area_0" localSheetId="1">AR!$A$1:$Q$77</definedName>
    <definedName name="Print_Area_0" localSheetId="10">AVK!$A$1:$Q$250</definedName>
    <definedName name="Print_Area_0" localSheetId="6">BK!$A$1:$Q$29</definedName>
    <definedName name="Print_Area_0" localSheetId="5">cokols!$A$1:$Q$56</definedName>
    <definedName name="Print_Area_0" localSheetId="8">ieejas!$A$1:$Q$57</definedName>
    <definedName name="Print_Area_0" localSheetId="7">jumts!$A$1:$Q$118</definedName>
    <definedName name="Print_Area_0" localSheetId="0">KPDV!$A$1:$G$38</definedName>
    <definedName name="Print_Area_0" localSheetId="4">pagrabs!$A$1:$Q$33</definedName>
  </definedNames>
  <calcPr calcId="179017"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45" i="13" l="1"/>
  <c r="N44" i="13"/>
  <c r="P43" i="13"/>
  <c r="O43" i="13"/>
  <c r="O45" i="13" s="1"/>
  <c r="F23" i="1" s="1"/>
  <c r="N43" i="13"/>
  <c r="N45" i="13" s="1"/>
  <c r="M43" i="13"/>
  <c r="L43" i="13"/>
  <c r="L45" i="13" s="1"/>
  <c r="E40" i="13"/>
  <c r="E41" i="13" s="1"/>
  <c r="E39" i="13"/>
  <c r="E38" i="13"/>
  <c r="E34" i="13"/>
  <c r="E35" i="13" s="1"/>
  <c r="E36" i="13" s="1"/>
  <c r="E37" i="13" s="1"/>
  <c r="E32" i="13"/>
  <c r="E31" i="13"/>
  <c r="E30" i="13"/>
  <c r="E33" i="13" s="1"/>
  <c r="E29" i="13"/>
  <c r="E28" i="13"/>
  <c r="E27" i="13"/>
  <c r="E25" i="13"/>
  <c r="E24" i="13"/>
  <c r="E23" i="13"/>
  <c r="E22" i="13"/>
  <c r="E21" i="13"/>
  <c r="E20" i="13"/>
  <c r="E19" i="13"/>
  <c r="E18" i="13"/>
  <c r="A18" i="13"/>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E17" i="13"/>
  <c r="B17" i="13"/>
  <c r="B18" i="13" s="1"/>
  <c r="B19" i="13" s="1"/>
  <c r="B20" i="13" s="1"/>
  <c r="B21" i="13" s="1"/>
  <c r="A16" i="13"/>
  <c r="A17" i="13" s="1"/>
  <c r="C13" i="13"/>
  <c r="D13" i="13" s="1"/>
  <c r="E13" i="13" s="1"/>
  <c r="F13" i="13" s="1"/>
  <c r="G13" i="13" s="1"/>
  <c r="H13" i="13" s="1"/>
  <c r="I13" i="13" s="1"/>
  <c r="J13" i="13" s="1"/>
  <c r="K13" i="13" s="1"/>
  <c r="L13" i="13" s="1"/>
  <c r="M13" i="13" s="1"/>
  <c r="N13" i="13" s="1"/>
  <c r="O13" i="13" s="1"/>
  <c r="P13" i="13" s="1"/>
  <c r="B13" i="13"/>
  <c r="P10" i="13"/>
  <c r="A9" i="13"/>
  <c r="A7" i="13"/>
  <c r="A6" i="13"/>
  <c r="A5" i="13"/>
  <c r="A4" i="13"/>
  <c r="A3" i="13"/>
  <c r="N42" i="12"/>
  <c r="P41" i="12"/>
  <c r="O41" i="12"/>
  <c r="O43" i="12" s="1"/>
  <c r="N41" i="12"/>
  <c r="M41" i="12"/>
  <c r="M43" i="12" s="1"/>
  <c r="L41" i="12"/>
  <c r="L43" i="12" s="1"/>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H13" i="12"/>
  <c r="I13" i="12" s="1"/>
  <c r="J13" i="12" s="1"/>
  <c r="K13" i="12" s="1"/>
  <c r="L13" i="12" s="1"/>
  <c r="M13" i="12" s="1"/>
  <c r="N13" i="12" s="1"/>
  <c r="O13" i="12" s="1"/>
  <c r="P13" i="12" s="1"/>
  <c r="D13" i="12"/>
  <c r="E13" i="12" s="1"/>
  <c r="F13" i="12" s="1"/>
  <c r="G13" i="12" s="1"/>
  <c r="B13" i="12"/>
  <c r="C13" i="12" s="1"/>
  <c r="P10" i="12"/>
  <c r="A9" i="12"/>
  <c r="A7" i="12"/>
  <c r="A6" i="12"/>
  <c r="A5" i="12"/>
  <c r="A4" i="12"/>
  <c r="A3" i="12"/>
  <c r="M244" i="11"/>
  <c r="Q242" i="11"/>
  <c r="P242" i="11"/>
  <c r="P244" i="11" s="1"/>
  <c r="O242" i="11"/>
  <c r="O243" i="11" s="1"/>
  <c r="N242" i="11"/>
  <c r="N244" i="11" s="1"/>
  <c r="M242" i="11"/>
  <c r="F240" i="11"/>
  <c r="F239" i="11"/>
  <c r="F238" i="11"/>
  <c r="F237" i="11"/>
  <c r="F236" i="11"/>
  <c r="F235" i="11"/>
  <c r="F234" i="11"/>
  <c r="F233" i="11"/>
  <c r="F232" i="11"/>
  <c r="F231" i="11"/>
  <c r="F230" i="11"/>
  <c r="F229" i="11"/>
  <c r="F228" i="11"/>
  <c r="F225" i="11"/>
  <c r="F224" i="11"/>
  <c r="F223" i="11"/>
  <c r="F222" i="11"/>
  <c r="F221" i="11"/>
  <c r="F220" i="11"/>
  <c r="F219" i="11"/>
  <c r="F218" i="11"/>
  <c r="F217" i="11"/>
  <c r="F216" i="11"/>
  <c r="F215" i="11"/>
  <c r="F214" i="11"/>
  <c r="F213" i="11"/>
  <c r="F212" i="11"/>
  <c r="F211" i="11"/>
  <c r="F208" i="11"/>
  <c r="F207" i="11"/>
  <c r="F206" i="11"/>
  <c r="F205" i="11"/>
  <c r="F204" i="11"/>
  <c r="F203" i="11"/>
  <c r="F202" i="11"/>
  <c r="F201" i="11"/>
  <c r="F200" i="11"/>
  <c r="F199" i="11"/>
  <c r="F198" i="11"/>
  <c r="F197" i="11"/>
  <c r="F196" i="11"/>
  <c r="F195" i="11"/>
  <c r="F194" i="11"/>
  <c r="F191" i="11"/>
  <c r="F190" i="11"/>
  <c r="F189" i="11"/>
  <c r="F188" i="11"/>
  <c r="F187" i="11"/>
  <c r="F186" i="11"/>
  <c r="F185" i="11"/>
  <c r="F184" i="11"/>
  <c r="F183" i="11"/>
  <c r="F182" i="11"/>
  <c r="F181" i="11"/>
  <c r="F180" i="11"/>
  <c r="F179" i="11"/>
  <c r="F178" i="11"/>
  <c r="F177" i="11"/>
  <c r="F174" i="11"/>
  <c r="F173" i="11"/>
  <c r="F172" i="11"/>
  <c r="F171" i="11"/>
  <c r="F170" i="11"/>
  <c r="F169" i="11"/>
  <c r="F168" i="11"/>
  <c r="F167" i="11"/>
  <c r="F166" i="11"/>
  <c r="F165" i="11"/>
  <c r="F164" i="11"/>
  <c r="F163" i="11"/>
  <c r="F162" i="11"/>
  <c r="F161" i="11"/>
  <c r="F158" i="11"/>
  <c r="F157" i="11"/>
  <c r="F156" i="11"/>
  <c r="F155" i="11"/>
  <c r="F154" i="11"/>
  <c r="F153" i="11"/>
  <c r="F152" i="11"/>
  <c r="F151" i="11"/>
  <c r="F150" i="11"/>
  <c r="F149" i="11"/>
  <c r="F148" i="11"/>
  <c r="F147" i="11"/>
  <c r="F146" i="11"/>
  <c r="F145" i="11"/>
  <c r="F144" i="11"/>
  <c r="F141" i="11"/>
  <c r="F140" i="11"/>
  <c r="F139" i="11"/>
  <c r="F138" i="11"/>
  <c r="F137" i="11"/>
  <c r="F136" i="11"/>
  <c r="F135" i="11"/>
  <c r="F134" i="11"/>
  <c r="F133" i="11"/>
  <c r="F132" i="11"/>
  <c r="F131" i="11"/>
  <c r="F130" i="11"/>
  <c r="F129" i="11"/>
  <c r="F128" i="11"/>
  <c r="F125" i="11"/>
  <c r="F124" i="11"/>
  <c r="F123" i="11"/>
  <c r="F122" i="11"/>
  <c r="F121" i="11"/>
  <c r="F120" i="11"/>
  <c r="F119" i="11"/>
  <c r="F118" i="11"/>
  <c r="F117" i="11"/>
  <c r="F116" i="11"/>
  <c r="F115" i="11"/>
  <c r="F114" i="11"/>
  <c r="F113" i="11"/>
  <c r="F112" i="11"/>
  <c r="F109" i="11"/>
  <c r="F108" i="11"/>
  <c r="F107" i="11"/>
  <c r="F106" i="11"/>
  <c r="F105" i="11"/>
  <c r="F104" i="11"/>
  <c r="F103" i="11"/>
  <c r="F102" i="11"/>
  <c r="F101" i="11"/>
  <c r="F100" i="11"/>
  <c r="F99" i="11"/>
  <c r="F98" i="11"/>
  <c r="F97" i="11"/>
  <c r="F96" i="11"/>
  <c r="F95" i="11"/>
  <c r="F92" i="11"/>
  <c r="F91" i="11"/>
  <c r="F90" i="11"/>
  <c r="F89" i="11"/>
  <c r="F88" i="11"/>
  <c r="F87" i="11"/>
  <c r="F86" i="11"/>
  <c r="F85" i="11"/>
  <c r="F84" i="11"/>
  <c r="F83" i="11"/>
  <c r="C13" i="11"/>
  <c r="D13" i="11" s="1"/>
  <c r="E13" i="11" s="1"/>
  <c r="G13" i="11" s="1"/>
  <c r="H13" i="11" s="1"/>
  <c r="I13" i="11" s="1"/>
  <c r="J13" i="11" s="1"/>
  <c r="K13" i="11" s="1"/>
  <c r="L13" i="11" s="1"/>
  <c r="M13" i="11" s="1"/>
  <c r="N13" i="11" s="1"/>
  <c r="O13" i="11" s="1"/>
  <c r="P13" i="11" s="1"/>
  <c r="Q13" i="11" s="1"/>
  <c r="B13" i="11"/>
  <c r="P10" i="11"/>
  <c r="O9" i="11"/>
  <c r="A7" i="11"/>
  <c r="A6" i="11"/>
  <c r="A5" i="11"/>
  <c r="A4" i="11"/>
  <c r="A3" i="11"/>
  <c r="P62" i="10"/>
  <c r="A62" i="10"/>
  <c r="A61" i="10"/>
  <c r="Q60" i="10"/>
  <c r="P60" i="10"/>
  <c r="O60" i="10"/>
  <c r="N60" i="10"/>
  <c r="N62" i="10" s="1"/>
  <c r="M60" i="10"/>
  <c r="M62" i="10" s="1"/>
  <c r="C20" i="1" s="1"/>
  <c r="A60" i="10"/>
  <c r="A58" i="10"/>
  <c r="A54" i="10"/>
  <c r="A50" i="10"/>
  <c r="E47" i="10"/>
  <c r="E48" i="10" s="1"/>
  <c r="A46" i="10"/>
  <c r="A45" i="10"/>
  <c r="A44" i="10"/>
  <c r="E43" i="10"/>
  <c r="E44" i="10" s="1"/>
  <c r="E45" i="10" s="1"/>
  <c r="E46" i="10" s="1"/>
  <c r="E40" i="10"/>
  <c r="E36" i="10"/>
  <c r="A36" i="10"/>
  <c r="A35" i="10"/>
  <c r="E34" i="10"/>
  <c r="A34" i="10"/>
  <c r="A33" i="10"/>
  <c r="E32" i="10"/>
  <c r="A32" i="10"/>
  <c r="A31" i="10"/>
  <c r="A30" i="10"/>
  <c r="A29" i="10"/>
  <c r="A28" i="10"/>
  <c r="A27" i="10"/>
  <c r="A26" i="10"/>
  <c r="A25" i="10"/>
  <c r="A24" i="10"/>
  <c r="A23" i="10"/>
  <c r="A22" i="10"/>
  <c r="A21" i="10"/>
  <c r="A20" i="10"/>
  <c r="A19" i="10"/>
  <c r="E18" i="10"/>
  <c r="E20" i="10" s="1"/>
  <c r="A18" i="10"/>
  <c r="E16" i="10"/>
  <c r="A16" i="10"/>
  <c r="A15" i="10"/>
  <c r="A14" i="10"/>
  <c r="B13" i="10"/>
  <c r="Q10" i="10"/>
  <c r="A9" i="10"/>
  <c r="G8" i="10"/>
  <c r="D8" i="10"/>
  <c r="C8" i="10"/>
  <c r="A7" i="10"/>
  <c r="A6" i="10"/>
  <c r="A5" i="10"/>
  <c r="A4" i="10"/>
  <c r="A3" i="10"/>
  <c r="P54" i="9"/>
  <c r="A54" i="9"/>
  <c r="A53" i="9"/>
  <c r="Q52" i="9"/>
  <c r="P52" i="9"/>
  <c r="O52" i="9"/>
  <c r="N52" i="9"/>
  <c r="N54" i="9" s="1"/>
  <c r="M52" i="9"/>
  <c r="M54" i="9" s="1"/>
  <c r="A50" i="9"/>
  <c r="E49" i="9"/>
  <c r="A49" i="9"/>
  <c r="A48" i="9"/>
  <c r="A47" i="9"/>
  <c r="E46" i="9"/>
  <c r="E48" i="9" s="1"/>
  <c r="A46" i="9"/>
  <c r="A45" i="9"/>
  <c r="A44" i="9"/>
  <c r="A43" i="9"/>
  <c r="E42" i="9"/>
  <c r="E44" i="9" s="1"/>
  <c r="E45" i="9" s="1"/>
  <c r="A42" i="9"/>
  <c r="A41" i="9"/>
  <c r="E40" i="9"/>
  <c r="E41" i="9" s="1"/>
  <c r="A40" i="9"/>
  <c r="A39" i="9"/>
  <c r="A38" i="9"/>
  <c r="E37" i="9"/>
  <c r="A37" i="9"/>
  <c r="A36" i="9"/>
  <c r="A35" i="9"/>
  <c r="A34" i="9"/>
  <c r="A33" i="9"/>
  <c r="E32" i="9"/>
  <c r="E33" i="9" s="1"/>
  <c r="A32" i="9"/>
  <c r="E31" i="9"/>
  <c r="E34" i="9" s="1"/>
  <c r="A31" i="9"/>
  <c r="A30" i="9"/>
  <c r="A29" i="9"/>
  <c r="A28" i="9"/>
  <c r="A27" i="9"/>
  <c r="E26" i="9"/>
  <c r="E27" i="9" s="1"/>
  <c r="E28" i="9" s="1"/>
  <c r="A26" i="9"/>
  <c r="A25" i="9"/>
  <c r="E24" i="9"/>
  <c r="E29" i="9" s="1"/>
  <c r="E30" i="9" s="1"/>
  <c r="A24" i="9"/>
  <c r="A23" i="9"/>
  <c r="A22" i="9"/>
  <c r="A21" i="9"/>
  <c r="E20" i="9"/>
  <c r="E21" i="9" s="1"/>
  <c r="A20" i="9"/>
  <c r="E19" i="9"/>
  <c r="A19" i="9"/>
  <c r="A18" i="9"/>
  <c r="A17" i="9"/>
  <c r="E16" i="9"/>
  <c r="E17" i="9" s="1"/>
  <c r="A16" i="9"/>
  <c r="A15" i="9"/>
  <c r="A14" i="9"/>
  <c r="A13" i="9"/>
  <c r="B12" i="9"/>
  <c r="C12" i="9" s="1"/>
  <c r="D12" i="9" s="1"/>
  <c r="E12" i="9" s="1"/>
  <c r="G12" i="9" s="1"/>
  <c r="H12" i="9" s="1"/>
  <c r="I12" i="9" s="1"/>
  <c r="J12" i="9" s="1"/>
  <c r="K12" i="9" s="1"/>
  <c r="L12" i="9" s="1"/>
  <c r="M12" i="9" s="1"/>
  <c r="N12" i="9" s="1"/>
  <c r="O12" i="9" s="1"/>
  <c r="P12" i="9" s="1"/>
  <c r="Q12" i="9" s="1"/>
  <c r="A7" i="9"/>
  <c r="A6" i="9"/>
  <c r="A5" i="9"/>
  <c r="A4" i="9"/>
  <c r="A3" i="9"/>
  <c r="P114" i="8"/>
  <c r="A114" i="8"/>
  <c r="A113" i="8"/>
  <c r="Q112" i="8"/>
  <c r="P112" i="8"/>
  <c r="O112" i="8"/>
  <c r="N112" i="8"/>
  <c r="N114" i="8" s="1"/>
  <c r="M112" i="8"/>
  <c r="M114" i="8" s="1"/>
  <c r="C18" i="1" s="1"/>
  <c r="A112" i="8"/>
  <c r="A111" i="8"/>
  <c r="E110" i="8"/>
  <c r="E111" i="8" s="1"/>
  <c r="A110" i="8"/>
  <c r="A109" i="8"/>
  <c r="A108" i="8"/>
  <c r="A107" i="8"/>
  <c r="A106" i="8"/>
  <c r="E105" i="8"/>
  <c r="A104" i="8"/>
  <c r="A102" i="8"/>
  <c r="E101" i="8"/>
  <c r="E107" i="8" s="1"/>
  <c r="A101" i="8"/>
  <c r="E100" i="8"/>
  <c r="A100" i="8"/>
  <c r="A99" i="8"/>
  <c r="E98" i="8"/>
  <c r="A98" i="8"/>
  <c r="E97" i="8"/>
  <c r="A97" i="8"/>
  <c r="A96" i="8"/>
  <c r="A95" i="8"/>
  <c r="A94" i="8"/>
  <c r="A93" i="8"/>
  <c r="A92" i="8"/>
  <c r="A91" i="8"/>
  <c r="A90" i="8"/>
  <c r="E89" i="8"/>
  <c r="E95" i="8" s="1"/>
  <c r="A89" i="8"/>
  <c r="A88" i="8"/>
  <c r="A87" i="8"/>
  <c r="E86" i="8"/>
  <c r="E88" i="8" s="1"/>
  <c r="A86" i="8"/>
  <c r="E85" i="8"/>
  <c r="A85" i="8"/>
  <c r="E84" i="8"/>
  <c r="A84" i="8"/>
  <c r="A83" i="8"/>
  <c r="A82" i="8"/>
  <c r="A81" i="8"/>
  <c r="A80" i="8"/>
  <c r="E79" i="8"/>
  <c r="E80" i="8" s="1"/>
  <c r="E81" i="8" s="1"/>
  <c r="E82" i="8" s="1"/>
  <c r="A79" i="8"/>
  <c r="A78" i="8"/>
  <c r="A77" i="8"/>
  <c r="E76" i="8"/>
  <c r="A76" i="8"/>
  <c r="E75" i="8"/>
  <c r="A75" i="8"/>
  <c r="A74" i="8"/>
  <c r="A73" i="8"/>
  <c r="E72" i="8"/>
  <c r="A72" i="8"/>
  <c r="A71" i="8"/>
  <c r="A70" i="8"/>
  <c r="A69" i="8"/>
  <c r="A68" i="8"/>
  <c r="E67" i="8"/>
  <c r="E70" i="8" s="1"/>
  <c r="A67" i="8"/>
  <c r="A66" i="8"/>
  <c r="E65" i="8"/>
  <c r="A65" i="8"/>
  <c r="E64" i="8"/>
  <c r="A64" i="8"/>
  <c r="E63" i="8"/>
  <c r="A63" i="8"/>
  <c r="E62" i="8"/>
  <c r="A62" i="8"/>
  <c r="E61" i="8"/>
  <c r="A61" i="8"/>
  <c r="A60" i="8"/>
  <c r="E59" i="8"/>
  <c r="E60" i="8" s="1"/>
  <c r="A59" i="8"/>
  <c r="E58" i="8"/>
  <c r="A58" i="8"/>
  <c r="E57" i="8"/>
  <c r="A57" i="8"/>
  <c r="E56" i="8"/>
  <c r="A56" i="8"/>
  <c r="A55" i="8"/>
  <c r="E54" i="8"/>
  <c r="A54" i="8"/>
  <c r="A53" i="8"/>
  <c r="A52" i="8"/>
  <c r="E51" i="8"/>
  <c r="A51" i="8"/>
  <c r="A50" i="8"/>
  <c r="A49" i="8"/>
  <c r="E48" i="8"/>
  <c r="A48" i="8"/>
  <c r="E47" i="8"/>
  <c r="A47" i="8"/>
  <c r="A46" i="8"/>
  <c r="A45" i="8"/>
  <c r="E44" i="8"/>
  <c r="A44" i="8"/>
  <c r="A43" i="8"/>
  <c r="A42" i="8"/>
  <c r="A41" i="8"/>
  <c r="A40" i="8"/>
  <c r="E39" i="8"/>
  <c r="E42" i="8" s="1"/>
  <c r="A39" i="8"/>
  <c r="A38" i="8"/>
  <c r="E37" i="8"/>
  <c r="A37" i="8"/>
  <c r="E36" i="8"/>
  <c r="A36" i="8"/>
  <c r="E35" i="8"/>
  <c r="A35" i="8"/>
  <c r="E34" i="8"/>
  <c r="A34" i="8"/>
  <c r="E33" i="8"/>
  <c r="A33" i="8"/>
  <c r="A32" i="8"/>
  <c r="E31" i="8"/>
  <c r="E32" i="8" s="1"/>
  <c r="A31" i="8"/>
  <c r="A30" i="8"/>
  <c r="A29" i="8"/>
  <c r="A28" i="8"/>
  <c r="A27" i="8"/>
  <c r="A26" i="8"/>
  <c r="A25" i="8"/>
  <c r="A24" i="8"/>
  <c r="E23" i="8"/>
  <c r="E24" i="8" s="1"/>
  <c r="A23" i="8"/>
  <c r="E22" i="8"/>
  <c r="E25" i="8" s="1"/>
  <c r="A22" i="8"/>
  <c r="A21" i="8"/>
  <c r="A20" i="8"/>
  <c r="A19" i="8"/>
  <c r="A18" i="8"/>
  <c r="A17" i="8"/>
  <c r="A16" i="8"/>
  <c r="A15" i="8"/>
  <c r="A14" i="8"/>
  <c r="A13" i="8"/>
  <c r="C12" i="8"/>
  <c r="D12" i="8" s="1"/>
  <c r="E12" i="8" s="1"/>
  <c r="G12" i="8" s="1"/>
  <c r="H12" i="8" s="1"/>
  <c r="I12" i="8" s="1"/>
  <c r="J12" i="8" s="1"/>
  <c r="K12" i="8" s="1"/>
  <c r="L12" i="8" s="1"/>
  <c r="M12" i="8" s="1"/>
  <c r="N12" i="8" s="1"/>
  <c r="O12" i="8" s="1"/>
  <c r="P12" i="8" s="1"/>
  <c r="Q12" i="8" s="1"/>
  <c r="B12" i="8"/>
  <c r="A7" i="8"/>
  <c r="A6" i="8"/>
  <c r="A5" i="8"/>
  <c r="A4" i="8"/>
  <c r="A3" i="8"/>
  <c r="M25" i="7"/>
  <c r="Q23" i="7"/>
  <c r="P23" i="7"/>
  <c r="P25" i="7" s="1"/>
  <c r="F17" i="1" s="1"/>
  <c r="O23" i="7"/>
  <c r="O24" i="7" s="1"/>
  <c r="N23" i="7"/>
  <c r="N25" i="7" s="1"/>
  <c r="D17" i="1" s="1"/>
  <c r="M23" i="7"/>
  <c r="A22" i="7"/>
  <c r="E21" i="7"/>
  <c r="A21" i="7"/>
  <c r="A20" i="7"/>
  <c r="A19" i="7"/>
  <c r="A18" i="7"/>
  <c r="A17" i="7"/>
  <c r="A16" i="7"/>
  <c r="A15" i="7"/>
  <c r="A14" i="7"/>
  <c r="C12" i="7"/>
  <c r="D12" i="7" s="1"/>
  <c r="E12" i="7" s="1"/>
  <c r="G12" i="7" s="1"/>
  <c r="H12" i="7" s="1"/>
  <c r="I12" i="7" s="1"/>
  <c r="J12" i="7" s="1"/>
  <c r="K12" i="7" s="1"/>
  <c r="L12" i="7" s="1"/>
  <c r="M12" i="7" s="1"/>
  <c r="N12" i="7" s="1"/>
  <c r="O12" i="7" s="1"/>
  <c r="P12" i="7" s="1"/>
  <c r="Q12" i="7" s="1"/>
  <c r="B12" i="7"/>
  <c r="A7" i="7"/>
  <c r="A6" i="7"/>
  <c r="A5" i="7"/>
  <c r="A4" i="7"/>
  <c r="A3" i="7"/>
  <c r="M50" i="6"/>
  <c r="C16" i="1" s="1"/>
  <c r="A50" i="6"/>
  <c r="A49" i="6"/>
  <c r="Q48" i="6"/>
  <c r="P48" i="6"/>
  <c r="P50" i="6" s="1"/>
  <c r="O48" i="6"/>
  <c r="N48" i="6"/>
  <c r="N50" i="6" s="1"/>
  <c r="M48" i="6"/>
  <c r="A46" i="6"/>
  <c r="A45" i="6"/>
  <c r="A44" i="6"/>
  <c r="A43" i="6"/>
  <c r="A42" i="6"/>
  <c r="A41" i="6"/>
  <c r="A40" i="6"/>
  <c r="A39" i="6"/>
  <c r="A37" i="6"/>
  <c r="E35" i="6"/>
  <c r="A34" i="6"/>
  <c r="A33" i="6"/>
  <c r="E32" i="6"/>
  <c r="E33" i="6" s="1"/>
  <c r="A32" i="6"/>
  <c r="A31" i="6"/>
  <c r="A30" i="6"/>
  <c r="A29" i="6"/>
  <c r="A28" i="6"/>
  <c r="A27" i="6"/>
  <c r="A26" i="6"/>
  <c r="A25" i="6"/>
  <c r="A24" i="6"/>
  <c r="A23" i="6"/>
  <c r="A22" i="6"/>
  <c r="E21" i="6"/>
  <c r="E24" i="6" s="1"/>
  <c r="C21" i="6"/>
  <c r="B21" i="6"/>
  <c r="A38" i="6" s="1"/>
  <c r="A21" i="6"/>
  <c r="A20" i="6"/>
  <c r="A19" i="6"/>
  <c r="A18" i="6"/>
  <c r="A17" i="6"/>
  <c r="E16" i="6"/>
  <c r="E25" i="6" s="1"/>
  <c r="A16" i="6"/>
  <c r="E15" i="6"/>
  <c r="E17" i="6" s="1"/>
  <c r="A15" i="6"/>
  <c r="A14" i="6"/>
  <c r="D13" i="6"/>
  <c r="E13" i="6" s="1"/>
  <c r="G13" i="6" s="1"/>
  <c r="H13" i="6" s="1"/>
  <c r="I13" i="6" s="1"/>
  <c r="J13" i="6" s="1"/>
  <c r="K13" i="6" s="1"/>
  <c r="L13" i="6" s="1"/>
  <c r="M13" i="6" s="1"/>
  <c r="N13" i="6" s="1"/>
  <c r="O13" i="6" s="1"/>
  <c r="P13" i="6" s="1"/>
  <c r="Q13" i="6" s="1"/>
  <c r="B13" i="6"/>
  <c r="C13" i="6" s="1"/>
  <c r="Q10" i="6"/>
  <c r="G8" i="6"/>
  <c r="D8" i="6"/>
  <c r="C8" i="6"/>
  <c r="A7" i="6"/>
  <c r="A6" i="6"/>
  <c r="A5" i="6"/>
  <c r="A4" i="6"/>
  <c r="A3" i="6"/>
  <c r="P27" i="5"/>
  <c r="N27" i="5"/>
  <c r="A27" i="5"/>
  <c r="G26" i="5"/>
  <c r="G49" i="6" s="1"/>
  <c r="O49" i="6" s="1"/>
  <c r="O50" i="6" s="1"/>
  <c r="A26" i="5"/>
  <c r="Q25" i="5"/>
  <c r="P25" i="5"/>
  <c r="O25" i="5"/>
  <c r="N25" i="5"/>
  <c r="M25" i="5"/>
  <c r="M27" i="5" s="1"/>
  <c r="A25" i="5"/>
  <c r="E23" i="5"/>
  <c r="A23" i="5"/>
  <c r="A22" i="5"/>
  <c r="A21" i="5"/>
  <c r="A20" i="5"/>
  <c r="A19" i="5"/>
  <c r="A18" i="5"/>
  <c r="E17" i="5"/>
  <c r="E19" i="5" s="1"/>
  <c r="A17" i="5"/>
  <c r="A16" i="5"/>
  <c r="A15" i="5"/>
  <c r="A14" i="5"/>
  <c r="D13" i="5"/>
  <c r="E13" i="5" s="1"/>
  <c r="G13" i="5" s="1"/>
  <c r="H13" i="5" s="1"/>
  <c r="I13" i="5" s="1"/>
  <c r="J13" i="5" s="1"/>
  <c r="K13" i="5" s="1"/>
  <c r="L13" i="5" s="1"/>
  <c r="M13" i="5" s="1"/>
  <c r="N13" i="5" s="1"/>
  <c r="O13" i="5" s="1"/>
  <c r="P13" i="5" s="1"/>
  <c r="Q13" i="5" s="1"/>
  <c r="B13" i="5"/>
  <c r="C13" i="5" s="1"/>
  <c r="Q10" i="5"/>
  <c r="A9" i="5"/>
  <c r="A9" i="6" s="1"/>
  <c r="G8" i="5"/>
  <c r="D8" i="5"/>
  <c r="C8" i="5"/>
  <c r="A7" i="5"/>
  <c r="A6" i="5"/>
  <c r="A5" i="5"/>
  <c r="A4" i="5"/>
  <c r="A3" i="5"/>
  <c r="S65" i="4"/>
  <c r="A65" i="4"/>
  <c r="A64" i="4"/>
  <c r="T63" i="4"/>
  <c r="S63" i="4"/>
  <c r="R63" i="4"/>
  <c r="Q63" i="4"/>
  <c r="Q65" i="4" s="1"/>
  <c r="P63" i="4"/>
  <c r="P65" i="4" s="1"/>
  <c r="C14" i="1" s="1"/>
  <c r="A63" i="4"/>
  <c r="A62" i="4"/>
  <c r="A61" i="4"/>
  <c r="A60" i="4"/>
  <c r="A59" i="4"/>
  <c r="A55" i="4"/>
  <c r="A54" i="4"/>
  <c r="A53" i="4"/>
  <c r="A52" i="4"/>
  <c r="H51" i="4"/>
  <c r="H50" i="4"/>
  <c r="A50" i="4"/>
  <c r="H49" i="4"/>
  <c r="A49" i="4"/>
  <c r="A48" i="4"/>
  <c r="H47" i="4"/>
  <c r="A47" i="4"/>
  <c r="H46" i="4"/>
  <c r="A46" i="4"/>
  <c r="A45" i="4"/>
  <c r="A44" i="4"/>
  <c r="A43" i="4"/>
  <c r="A42" i="4"/>
  <c r="A41" i="4"/>
  <c r="A40" i="4"/>
  <c r="A39" i="4"/>
  <c r="A38" i="4"/>
  <c r="F37" i="4"/>
  <c r="E37" i="4"/>
  <c r="D37" i="4"/>
  <c r="C37" i="4"/>
  <c r="A37" i="4"/>
  <c r="A36" i="4"/>
  <c r="F35" i="4"/>
  <c r="E35" i="4"/>
  <c r="D35" i="4"/>
  <c r="C35" i="4"/>
  <c r="A35" i="4"/>
  <c r="A34" i="4"/>
  <c r="F33" i="4"/>
  <c r="E33" i="4"/>
  <c r="D33" i="4"/>
  <c r="C33" i="4"/>
  <c r="A33" i="4"/>
  <c r="A32" i="4"/>
  <c r="F31" i="4"/>
  <c r="E31" i="4"/>
  <c r="D31" i="4"/>
  <c r="C31" i="4"/>
  <c r="F29" i="4"/>
  <c r="E29" i="4"/>
  <c r="C29" i="4"/>
  <c r="A29" i="4"/>
  <c r="F28" i="4"/>
  <c r="E28" i="4"/>
  <c r="D28" i="4"/>
  <c r="C28" i="4"/>
  <c r="A28" i="4"/>
  <c r="F27" i="4"/>
  <c r="E27" i="4"/>
  <c r="C27" i="4"/>
  <c r="A27" i="4"/>
  <c r="F26" i="4"/>
  <c r="E26" i="4"/>
  <c r="D26" i="4"/>
  <c r="C26" i="4"/>
  <c r="A26" i="4"/>
  <c r="F25" i="4"/>
  <c r="E25" i="4"/>
  <c r="C25" i="4"/>
  <c r="A25" i="4"/>
  <c r="F24" i="4"/>
  <c r="E24" i="4"/>
  <c r="D24" i="4"/>
  <c r="C24" i="4"/>
  <c r="A24" i="4"/>
  <c r="F23" i="4"/>
  <c r="E23" i="4"/>
  <c r="C23" i="4"/>
  <c r="A23" i="4"/>
  <c r="F22" i="4"/>
  <c r="E22" i="4"/>
  <c r="D22" i="4"/>
  <c r="C22" i="4"/>
  <c r="A22" i="4"/>
  <c r="F21" i="4"/>
  <c r="E21" i="4"/>
  <c r="D21" i="4"/>
  <c r="C21" i="4"/>
  <c r="A21" i="4"/>
  <c r="F20" i="4"/>
  <c r="E20" i="4"/>
  <c r="D20" i="4"/>
  <c r="C20" i="4"/>
  <c r="A20" i="4"/>
  <c r="F19" i="4"/>
  <c r="E19" i="4"/>
  <c r="D19" i="4"/>
  <c r="C19" i="4"/>
  <c r="A19" i="4"/>
  <c r="F18" i="4"/>
  <c r="E18" i="4"/>
  <c r="D18" i="4"/>
  <c r="C18" i="4"/>
  <c r="A18" i="4"/>
  <c r="F17" i="4"/>
  <c r="E17" i="4"/>
  <c r="D17" i="4"/>
  <c r="C17" i="4"/>
  <c r="A17" i="4"/>
  <c r="A16" i="4"/>
  <c r="A15" i="4"/>
  <c r="A14" i="4"/>
  <c r="A13" i="4"/>
  <c r="B12" i="4"/>
  <c r="C12" i="4" s="1"/>
  <c r="G12" i="4" s="1"/>
  <c r="H12" i="4" s="1"/>
  <c r="J12" i="4" s="1"/>
  <c r="K12" i="4" s="1"/>
  <c r="L12" i="4" s="1"/>
  <c r="M12" i="4" s="1"/>
  <c r="N12" i="4" s="1"/>
  <c r="O12" i="4" s="1"/>
  <c r="P12" i="4" s="1"/>
  <c r="Q12" i="4" s="1"/>
  <c r="R12" i="4" s="1"/>
  <c r="S12" i="4" s="1"/>
  <c r="T12" i="4" s="1"/>
  <c r="A7" i="4"/>
  <c r="A6" i="4"/>
  <c r="A5" i="4"/>
  <c r="A4" i="4"/>
  <c r="A3" i="4"/>
  <c r="D39" i="3"/>
  <c r="E17" i="8" s="1"/>
  <c r="E18" i="8" s="1"/>
  <c r="H35" i="3"/>
  <c r="D35" i="3"/>
  <c r="E36" i="2" s="1"/>
  <c r="H34" i="3"/>
  <c r="D34" i="3"/>
  <c r="H33" i="3"/>
  <c r="E33" i="3"/>
  <c r="E35" i="3" s="1"/>
  <c r="D33" i="3"/>
  <c r="F32" i="3"/>
  <c r="E26" i="6" s="1"/>
  <c r="E32" i="3"/>
  <c r="O27" i="3"/>
  <c r="H54" i="4" s="1"/>
  <c r="E27" i="3"/>
  <c r="E49" i="2" s="1"/>
  <c r="S26" i="3"/>
  <c r="T26" i="3" s="1"/>
  <c r="Q26" i="3"/>
  <c r="R26" i="3" s="1"/>
  <c r="L26" i="3"/>
  <c r="N26" i="3" s="1"/>
  <c r="K26" i="3"/>
  <c r="M26" i="3" s="1"/>
  <c r="H26" i="3"/>
  <c r="J26" i="3" s="1"/>
  <c r="H37" i="4" s="1"/>
  <c r="C26" i="3"/>
  <c r="I26" i="3" s="1"/>
  <c r="S25" i="3"/>
  <c r="T25" i="3" s="1"/>
  <c r="Q25" i="3"/>
  <c r="R25" i="3" s="1"/>
  <c r="L25" i="3"/>
  <c r="N25" i="3" s="1"/>
  <c r="K25" i="3"/>
  <c r="M25" i="3" s="1"/>
  <c r="I25" i="3"/>
  <c r="H25" i="3"/>
  <c r="J25" i="3" s="1"/>
  <c r="T24" i="3"/>
  <c r="S24" i="3"/>
  <c r="R24" i="3"/>
  <c r="Q24" i="3"/>
  <c r="L24" i="3"/>
  <c r="N24" i="3" s="1"/>
  <c r="K24" i="3"/>
  <c r="M24" i="3" s="1"/>
  <c r="H24" i="3"/>
  <c r="I24" i="3" s="1"/>
  <c r="C24" i="3"/>
  <c r="T23" i="3"/>
  <c r="S23" i="3"/>
  <c r="R23" i="3"/>
  <c r="Q23" i="3"/>
  <c r="L23" i="3"/>
  <c r="N23" i="3" s="1"/>
  <c r="K23" i="3"/>
  <c r="M23" i="3" s="1"/>
  <c r="H23" i="3"/>
  <c r="I23" i="3" s="1"/>
  <c r="C23" i="3"/>
  <c r="H22" i="3"/>
  <c r="E22" i="3"/>
  <c r="S22" i="3" s="1"/>
  <c r="T22" i="3" s="1"/>
  <c r="D22" i="3"/>
  <c r="L22" i="3" s="1"/>
  <c r="N22" i="3" s="1"/>
  <c r="T21" i="3"/>
  <c r="S21" i="3"/>
  <c r="R21" i="3"/>
  <c r="Q21" i="3"/>
  <c r="P21" i="3"/>
  <c r="O21" i="3"/>
  <c r="L21" i="3"/>
  <c r="N21" i="3" s="1"/>
  <c r="K21" i="3"/>
  <c r="M21" i="3" s="1"/>
  <c r="H21" i="3"/>
  <c r="I21" i="3" s="1"/>
  <c r="C21" i="3"/>
  <c r="C22" i="3" s="1"/>
  <c r="T20" i="3"/>
  <c r="S20" i="3"/>
  <c r="R20" i="3"/>
  <c r="Q20" i="3"/>
  <c r="L20" i="3"/>
  <c r="N20" i="3" s="1"/>
  <c r="K20" i="3"/>
  <c r="M20" i="3" s="1"/>
  <c r="H20" i="3"/>
  <c r="I20" i="3" s="1"/>
  <c r="C20" i="3"/>
  <c r="T19" i="3"/>
  <c r="S19" i="3"/>
  <c r="R19" i="3"/>
  <c r="Q19" i="3"/>
  <c r="P19" i="3"/>
  <c r="O19" i="3"/>
  <c r="L19" i="3"/>
  <c r="N19" i="3" s="1"/>
  <c r="K19" i="3"/>
  <c r="M19" i="3" s="1"/>
  <c r="H19" i="3"/>
  <c r="I19" i="3" s="1"/>
  <c r="C19" i="3"/>
  <c r="T18" i="3"/>
  <c r="S18" i="3"/>
  <c r="R18" i="3"/>
  <c r="Q18" i="3"/>
  <c r="P18" i="3"/>
  <c r="O18" i="3"/>
  <c r="L18" i="3"/>
  <c r="N18" i="3" s="1"/>
  <c r="K18" i="3"/>
  <c r="M18" i="3" s="1"/>
  <c r="H18" i="3"/>
  <c r="I18" i="3" s="1"/>
  <c r="C18" i="3"/>
  <c r="T17" i="3"/>
  <c r="S17" i="3"/>
  <c r="R17" i="3"/>
  <c r="Q17" i="3"/>
  <c r="P17" i="3"/>
  <c r="O17" i="3"/>
  <c r="L17" i="3"/>
  <c r="N17" i="3" s="1"/>
  <c r="K17" i="3"/>
  <c r="M17" i="3" s="1"/>
  <c r="H17" i="3"/>
  <c r="I17" i="3" s="1"/>
  <c r="C17" i="3"/>
  <c r="H16" i="3"/>
  <c r="E16" i="3"/>
  <c r="S16" i="3" s="1"/>
  <c r="T16" i="3" s="1"/>
  <c r="D16" i="3"/>
  <c r="D29" i="4" s="1"/>
  <c r="T15" i="3"/>
  <c r="S15" i="3"/>
  <c r="R15" i="3"/>
  <c r="Q15" i="3"/>
  <c r="P15" i="3"/>
  <c r="O15" i="3"/>
  <c r="L15" i="3"/>
  <c r="N15" i="3" s="1"/>
  <c r="K15" i="3"/>
  <c r="M15" i="3" s="1"/>
  <c r="H15" i="3"/>
  <c r="I15" i="3" s="1"/>
  <c r="C15" i="3"/>
  <c r="H14" i="3"/>
  <c r="E14" i="3"/>
  <c r="S14" i="3" s="1"/>
  <c r="T14" i="3" s="1"/>
  <c r="D14" i="3"/>
  <c r="D27" i="4" s="1"/>
  <c r="T13" i="3"/>
  <c r="S13" i="3"/>
  <c r="R13" i="3"/>
  <c r="Q13" i="3"/>
  <c r="P13" i="3"/>
  <c r="O13" i="3"/>
  <c r="L13" i="3"/>
  <c r="N13" i="3" s="1"/>
  <c r="K13" i="3"/>
  <c r="M13" i="3" s="1"/>
  <c r="H13" i="3"/>
  <c r="I13" i="3" s="1"/>
  <c r="C13" i="3"/>
  <c r="H12" i="3"/>
  <c r="E12" i="3"/>
  <c r="S12" i="3" s="1"/>
  <c r="T12" i="3" s="1"/>
  <c r="D12" i="3"/>
  <c r="D25" i="4" s="1"/>
  <c r="T11" i="3"/>
  <c r="S11" i="3"/>
  <c r="R11" i="3"/>
  <c r="Q11" i="3"/>
  <c r="P11" i="3"/>
  <c r="O11" i="3"/>
  <c r="L11" i="3"/>
  <c r="N11" i="3" s="1"/>
  <c r="K11" i="3"/>
  <c r="M11" i="3" s="1"/>
  <c r="H11" i="3"/>
  <c r="I11" i="3" s="1"/>
  <c r="C11" i="3"/>
  <c r="H10" i="3"/>
  <c r="E10" i="3"/>
  <c r="S10" i="3" s="1"/>
  <c r="T10" i="3" s="1"/>
  <c r="D10" i="3"/>
  <c r="T9" i="3"/>
  <c r="S9" i="3"/>
  <c r="R9" i="3"/>
  <c r="Q9" i="3"/>
  <c r="P9" i="3"/>
  <c r="O9" i="3"/>
  <c r="L9" i="3"/>
  <c r="N9" i="3" s="1"/>
  <c r="K9" i="3"/>
  <c r="M9" i="3" s="1"/>
  <c r="J9" i="3"/>
  <c r="H22" i="4" s="1"/>
  <c r="H9" i="3"/>
  <c r="I9" i="3" s="1"/>
  <c r="C9" i="3"/>
  <c r="T8" i="3"/>
  <c r="S8" i="3"/>
  <c r="R8" i="3"/>
  <c r="Q8" i="3"/>
  <c r="P8" i="3"/>
  <c r="O8" i="3"/>
  <c r="L8" i="3"/>
  <c r="N8" i="3" s="1"/>
  <c r="K8" i="3"/>
  <c r="M8" i="3" s="1"/>
  <c r="J8" i="3"/>
  <c r="H21" i="4" s="1"/>
  <c r="H8" i="3"/>
  <c r="I8" i="3" s="1"/>
  <c r="C8" i="3"/>
  <c r="T7" i="3"/>
  <c r="S7" i="3"/>
  <c r="R7" i="3"/>
  <c r="Q7" i="3"/>
  <c r="P7" i="3"/>
  <c r="O7" i="3"/>
  <c r="L7" i="3"/>
  <c r="N7" i="3" s="1"/>
  <c r="K7" i="3"/>
  <c r="M7" i="3" s="1"/>
  <c r="J7" i="3"/>
  <c r="H20" i="4" s="1"/>
  <c r="H7" i="3"/>
  <c r="I7" i="3" s="1"/>
  <c r="C7" i="3"/>
  <c r="T6" i="3"/>
  <c r="S6" i="3"/>
  <c r="R6" i="3"/>
  <c r="Q6" i="3"/>
  <c r="P6" i="3"/>
  <c r="O6" i="3"/>
  <c r="L6" i="3"/>
  <c r="N6" i="3" s="1"/>
  <c r="K6" i="3"/>
  <c r="M6" i="3" s="1"/>
  <c r="J6" i="3"/>
  <c r="H19" i="4" s="1"/>
  <c r="H6" i="3"/>
  <c r="I6" i="3" s="1"/>
  <c r="C6" i="3"/>
  <c r="T5" i="3"/>
  <c r="S5" i="3"/>
  <c r="R5" i="3"/>
  <c r="Q5" i="3"/>
  <c r="P5" i="3"/>
  <c r="O5" i="3"/>
  <c r="L5" i="3"/>
  <c r="N5" i="3" s="1"/>
  <c r="K5" i="3"/>
  <c r="M5" i="3" s="1"/>
  <c r="J5" i="3"/>
  <c r="H18" i="4" s="1"/>
  <c r="H5" i="3"/>
  <c r="I5" i="3" s="1"/>
  <c r="C5" i="3"/>
  <c r="T4" i="3"/>
  <c r="S4" i="3"/>
  <c r="R4" i="3"/>
  <c r="Q4" i="3"/>
  <c r="P4" i="3"/>
  <c r="P27" i="3" s="1"/>
  <c r="O4" i="3"/>
  <c r="L4" i="3"/>
  <c r="K4" i="3"/>
  <c r="M4" i="3" s="1"/>
  <c r="J4" i="3"/>
  <c r="H4" i="3"/>
  <c r="I4" i="3" s="1"/>
  <c r="C4" i="3"/>
  <c r="V1" i="3"/>
  <c r="P71" i="2"/>
  <c r="F13" i="1" s="1"/>
  <c r="A71" i="2"/>
  <c r="A70" i="2"/>
  <c r="Q69" i="2"/>
  <c r="P69" i="2"/>
  <c r="O69" i="2"/>
  <c r="N69" i="2"/>
  <c r="N71" i="2" s="1"/>
  <c r="M69" i="2"/>
  <c r="M71" i="2" s="1"/>
  <c r="E67" i="2"/>
  <c r="A67" i="2"/>
  <c r="E64" i="2"/>
  <c r="E63" i="2"/>
  <c r="E62" i="2"/>
  <c r="C62" i="2"/>
  <c r="C61" i="2"/>
  <c r="C60" i="2"/>
  <c r="C59" i="2"/>
  <c r="C58" i="2"/>
  <c r="A56" i="2"/>
  <c r="A55" i="2"/>
  <c r="A54" i="2"/>
  <c r="A51" i="2"/>
  <c r="A50" i="2"/>
  <c r="A48" i="2"/>
  <c r="A47" i="2"/>
  <c r="A45" i="2"/>
  <c r="A44" i="2"/>
  <c r="A43" i="2"/>
  <c r="A42" i="2"/>
  <c r="A41" i="2"/>
  <c r="A40" i="2"/>
  <c r="A38" i="2"/>
  <c r="A37" i="2"/>
  <c r="D36" i="2"/>
  <c r="C36" i="2"/>
  <c r="B36" i="2"/>
  <c r="F35" i="2"/>
  <c r="D35" i="2"/>
  <c r="C35" i="2"/>
  <c r="B35" i="2"/>
  <c r="E34" i="2"/>
  <c r="D34" i="2"/>
  <c r="C34" i="2"/>
  <c r="B34" i="2"/>
  <c r="F33" i="2"/>
  <c r="E33" i="2"/>
  <c r="C33" i="2"/>
  <c r="B33" i="2"/>
  <c r="A33" i="2" s="1"/>
  <c r="E32" i="2"/>
  <c r="C32" i="2"/>
  <c r="B32" i="2"/>
  <c r="A31" i="2"/>
  <c r="A30" i="2"/>
  <c r="A29" i="2"/>
  <c r="A28" i="2"/>
  <c r="A27" i="2"/>
  <c r="A26" i="2"/>
  <c r="A25" i="2"/>
  <c r="E24" i="2"/>
  <c r="A24" i="2"/>
  <c r="E23" i="2"/>
  <c r="A23" i="2"/>
  <c r="A22" i="2"/>
  <c r="A21" i="2"/>
  <c r="A20" i="2"/>
  <c r="A19" i="2"/>
  <c r="E18" i="2"/>
  <c r="E19" i="2" s="1"/>
  <c r="A18" i="2"/>
  <c r="A17" i="2"/>
  <c r="A16" i="2"/>
  <c r="A15" i="2"/>
  <c r="E14" i="2"/>
  <c r="E15" i="2" s="1"/>
  <c r="E16" i="2" s="1"/>
  <c r="A14" i="2"/>
  <c r="B13" i="2"/>
  <c r="C13" i="2" s="1"/>
  <c r="D13" i="2" s="1"/>
  <c r="E13" i="2" s="1"/>
  <c r="G13" i="2" s="1"/>
  <c r="H13" i="2" s="1"/>
  <c r="I13" i="2" s="1"/>
  <c r="J13" i="2" s="1"/>
  <c r="K13" i="2" s="1"/>
  <c r="L13" i="2" s="1"/>
  <c r="M13" i="2" s="1"/>
  <c r="N13" i="2" s="1"/>
  <c r="O13" i="2" s="1"/>
  <c r="P13" i="2" s="1"/>
  <c r="Q13" i="2" s="1"/>
  <c r="Q10" i="2"/>
  <c r="A7" i="2"/>
  <c r="A6" i="2"/>
  <c r="A5" i="2"/>
  <c r="A4" i="2"/>
  <c r="A3" i="2"/>
  <c r="H1" i="2"/>
  <c r="E23" i="1"/>
  <c r="D23" i="1"/>
  <c r="C23" i="1"/>
  <c r="B23" i="1"/>
  <c r="F22" i="1"/>
  <c r="D22" i="1"/>
  <c r="C22" i="1"/>
  <c r="B22" i="1"/>
  <c r="F21" i="1"/>
  <c r="D21" i="1"/>
  <c r="C21" i="1"/>
  <c r="B21" i="1"/>
  <c r="F20" i="1"/>
  <c r="D20" i="1"/>
  <c r="B20" i="1"/>
  <c r="F19" i="1"/>
  <c r="D19" i="1"/>
  <c r="C19" i="1"/>
  <c r="B19" i="1"/>
  <c r="F18" i="1"/>
  <c r="D18" i="1"/>
  <c r="B18" i="1"/>
  <c r="C17" i="1"/>
  <c r="B17" i="1"/>
  <c r="F16" i="1"/>
  <c r="D16" i="1"/>
  <c r="B16" i="1"/>
  <c r="F15" i="1"/>
  <c r="C15" i="1"/>
  <c r="B15" i="1"/>
  <c r="A15" i="1"/>
  <c r="F14" i="1"/>
  <c r="F25" i="1" s="1"/>
  <c r="D14" i="1"/>
  <c r="B14" i="1"/>
  <c r="A14" i="1"/>
  <c r="C13" i="1"/>
  <c r="C25" i="1" s="1"/>
  <c r="B13" i="1"/>
  <c r="D9" i="1"/>
  <c r="D13" i="1" l="1"/>
  <c r="A34" i="2"/>
  <c r="A39" i="2"/>
  <c r="A49" i="2"/>
  <c r="A53" i="2"/>
  <c r="A58" i="2"/>
  <c r="A60" i="2"/>
  <c r="A62" i="2"/>
  <c r="H17" i="4"/>
  <c r="D23" i="4"/>
  <c r="C10" i="3"/>
  <c r="L10" i="3"/>
  <c r="N10" i="3" s="1"/>
  <c r="I10" i="3"/>
  <c r="E51" i="2"/>
  <c r="E50" i="2"/>
  <c r="H1" i="5"/>
  <c r="A16" i="1"/>
  <c r="A65" i="2"/>
  <c r="A64" i="2"/>
  <c r="A63" i="2"/>
  <c r="A61" i="2"/>
  <c r="A59" i="2"/>
  <c r="A32" i="2"/>
  <c r="E37" i="2"/>
  <c r="A35" i="2"/>
  <c r="A36" i="2"/>
  <c r="A46" i="2"/>
  <c r="A52" i="2"/>
  <c r="A66" i="2"/>
  <c r="N4" i="3"/>
  <c r="H15" i="4"/>
  <c r="H14" i="4"/>
  <c r="E52" i="2"/>
  <c r="T27" i="3"/>
  <c r="E61" i="2" s="1"/>
  <c r="J10" i="3"/>
  <c r="H23" i="4" s="1"/>
  <c r="I14" i="3"/>
  <c r="I22" i="3"/>
  <c r="E35" i="2"/>
  <c r="E29" i="2" s="1"/>
  <c r="E16" i="1"/>
  <c r="Q50" i="6"/>
  <c r="E22" i="10"/>
  <c r="E21" i="10"/>
  <c r="J11" i="3"/>
  <c r="H24" i="4" s="1"/>
  <c r="J12" i="3"/>
  <c r="H25" i="4" s="1"/>
  <c r="L12" i="3"/>
  <c r="N12" i="3" s="1"/>
  <c r="J13" i="3"/>
  <c r="H26" i="4" s="1"/>
  <c r="J14" i="3"/>
  <c r="H27" i="4" s="1"/>
  <c r="L14" i="3"/>
  <c r="N14" i="3" s="1"/>
  <c r="J15" i="3"/>
  <c r="H28" i="4" s="1"/>
  <c r="J16" i="3"/>
  <c r="H29" i="4" s="1"/>
  <c r="L16" i="3"/>
  <c r="N16" i="3" s="1"/>
  <c r="J17" i="3"/>
  <c r="J18" i="3"/>
  <c r="J19" i="3"/>
  <c r="H31" i="4" s="1"/>
  <c r="J20" i="3"/>
  <c r="H33" i="4" s="1"/>
  <c r="J21" i="3"/>
  <c r="J22" i="3"/>
  <c r="J23" i="3"/>
  <c r="H35" i="4" s="1"/>
  <c r="J24" i="3"/>
  <c r="E31" i="6"/>
  <c r="E30" i="6"/>
  <c r="E29" i="6"/>
  <c r="E28" i="6"/>
  <c r="E27" i="6"/>
  <c r="O26" i="5"/>
  <c r="O27" i="5" s="1"/>
  <c r="E43" i="6"/>
  <c r="E39" i="6"/>
  <c r="E40" i="8"/>
  <c r="E43" i="8" s="1"/>
  <c r="E41" i="8"/>
  <c r="E25" i="9"/>
  <c r="E19" i="10"/>
  <c r="E41" i="10"/>
  <c r="E39" i="10"/>
  <c r="E37" i="10"/>
  <c r="E42" i="10"/>
  <c r="E38" i="10"/>
  <c r="D15" i="1"/>
  <c r="E46" i="2"/>
  <c r="O70" i="2"/>
  <c r="O71" i="2" s="1"/>
  <c r="S27" i="3"/>
  <c r="E60" i="2" s="1"/>
  <c r="K10" i="3"/>
  <c r="Q10" i="3"/>
  <c r="C12" i="3"/>
  <c r="I12" i="3" s="1"/>
  <c r="K12" i="3"/>
  <c r="M12" i="3" s="1"/>
  <c r="Q12" i="3"/>
  <c r="R12" i="3" s="1"/>
  <c r="C14" i="3"/>
  <c r="K14" i="3"/>
  <c r="M14" i="3" s="1"/>
  <c r="Q14" i="3"/>
  <c r="R14" i="3" s="1"/>
  <c r="C16" i="3"/>
  <c r="I16" i="3" s="1"/>
  <c r="K16" i="3"/>
  <c r="M16" i="3" s="1"/>
  <c r="Q16" i="3"/>
  <c r="R16" i="3" s="1"/>
  <c r="K22" i="3"/>
  <c r="M22" i="3" s="1"/>
  <c r="Q22" i="3"/>
  <c r="R22" i="3" s="1"/>
  <c r="E21" i="5"/>
  <c r="E20" i="5"/>
  <c r="E19" i="6"/>
  <c r="E20" i="6" s="1"/>
  <c r="E18" i="6"/>
  <c r="E36" i="6"/>
  <c r="E37" i="6" s="1"/>
  <c r="O25" i="7"/>
  <c r="E17" i="1" s="1"/>
  <c r="E68" i="8"/>
  <c r="E71" i="8" s="1"/>
  <c r="E69" i="8"/>
  <c r="P45" i="13"/>
  <c r="R64" i="4"/>
  <c r="R65" i="4" s="1"/>
  <c r="E18" i="5"/>
  <c r="E22" i="6"/>
  <c r="E23" i="6"/>
  <c r="A35" i="6"/>
  <c r="A36" i="6"/>
  <c r="E87" i="8"/>
  <c r="E90" i="8"/>
  <c r="E91" i="8"/>
  <c r="E92" i="8"/>
  <c r="E93" i="8"/>
  <c r="E94" i="8"/>
  <c r="E102" i="8"/>
  <c r="E104" i="8"/>
  <c r="O113" i="8"/>
  <c r="O114" i="8" s="1"/>
  <c r="A59" i="10"/>
  <c r="A57" i="10"/>
  <c r="A55" i="10"/>
  <c r="A53" i="10"/>
  <c r="A51" i="10"/>
  <c r="A47" i="10"/>
  <c r="A43" i="10"/>
  <c r="C13" i="10"/>
  <c r="D13" i="10" s="1"/>
  <c r="E13" i="10" s="1"/>
  <c r="G13" i="10" s="1"/>
  <c r="H13" i="10" s="1"/>
  <c r="I13" i="10" s="1"/>
  <c r="J13" i="10" s="1"/>
  <c r="K13" i="10" s="1"/>
  <c r="L13" i="10" s="1"/>
  <c r="M13" i="10" s="1"/>
  <c r="N13" i="10" s="1"/>
  <c r="O13" i="10" s="1"/>
  <c r="P13" i="10" s="1"/>
  <c r="Q13" i="10" s="1"/>
  <c r="A52" i="10"/>
  <c r="A56" i="10"/>
  <c r="O244" i="11"/>
  <c r="N43" i="12"/>
  <c r="E22" i="1" s="1"/>
  <c r="E43" i="9"/>
  <c r="E47" i="9"/>
  <c r="O53" i="9"/>
  <c r="O54" i="9" s="1"/>
  <c r="O61" i="10"/>
  <c r="O62" i="10" s="1"/>
  <c r="E19" i="1" l="1"/>
  <c r="Q54" i="9"/>
  <c r="E20" i="1"/>
  <c r="Q62" i="10"/>
  <c r="E18" i="1"/>
  <c r="Q114" i="8"/>
  <c r="E14" i="1"/>
  <c r="T65" i="4"/>
  <c r="E13" i="1"/>
  <c r="Q71" i="2"/>
  <c r="E15" i="1"/>
  <c r="Q27" i="5"/>
  <c r="M10" i="3"/>
  <c r="M27" i="3" s="1"/>
  <c r="E39" i="2" s="1"/>
  <c r="K27" i="3"/>
  <c r="H52" i="4" s="1"/>
  <c r="Q25" i="7"/>
  <c r="E45" i="6"/>
  <c r="E44" i="6"/>
  <c r="E25" i="10"/>
  <c r="E23" i="10"/>
  <c r="E24" i="10" s="1"/>
  <c r="E53" i="2"/>
  <c r="E31" i="2"/>
  <c r="E30" i="2"/>
  <c r="E25" i="2"/>
  <c r="L27" i="3"/>
  <c r="H53" i="4" s="1"/>
  <c r="H38" i="4"/>
  <c r="E38" i="2"/>
  <c r="D25" i="1"/>
  <c r="G28" i="1" s="1"/>
  <c r="Q244" i="11"/>
  <c r="E21" i="1"/>
  <c r="P9" i="13"/>
  <c r="G23" i="1"/>
  <c r="Q27" i="3"/>
  <c r="E58" i="2" s="1"/>
  <c r="R10" i="3"/>
  <c r="R27" i="3" s="1"/>
  <c r="E59" i="2" s="1"/>
  <c r="E48" i="2"/>
  <c r="E47" i="2"/>
  <c r="P43" i="12"/>
  <c r="E41" i="6"/>
  <c r="E42" i="6" s="1"/>
  <c r="E40" i="6"/>
  <c r="Q9" i="6"/>
  <c r="G16" i="1"/>
  <c r="N27" i="3"/>
  <c r="H55" i="4" s="1"/>
  <c r="H1" i="6"/>
  <c r="A17" i="1"/>
  <c r="A18" i="1" s="1"/>
  <c r="A19" i="1" s="1"/>
  <c r="A20" i="1" s="1"/>
  <c r="J27" i="3"/>
  <c r="H13" i="4" s="1"/>
  <c r="P9" i="12" l="1"/>
  <c r="G22" i="1"/>
  <c r="P9" i="11"/>
  <c r="G21" i="1"/>
  <c r="E56" i="2"/>
  <c r="E55" i="2"/>
  <c r="E54" i="2"/>
  <c r="E27" i="10"/>
  <c r="E26" i="10"/>
  <c r="Q9" i="5"/>
  <c r="G15" i="1"/>
  <c r="Q9" i="2"/>
  <c r="G13" i="1"/>
  <c r="S8" i="4"/>
  <c r="G14" i="1"/>
  <c r="G18" i="1"/>
  <c r="P8" i="8"/>
  <c r="Q9" i="10"/>
  <c r="G20" i="1"/>
  <c r="P8" i="9"/>
  <c r="G19" i="1"/>
  <c r="H1" i="10"/>
  <c r="A21" i="1"/>
  <c r="H62" i="4"/>
  <c r="H61" i="4"/>
  <c r="H60" i="4"/>
  <c r="H59" i="4"/>
  <c r="H58" i="4"/>
  <c r="H56" i="4"/>
  <c r="H57" i="4"/>
  <c r="H44" i="4"/>
  <c r="H43" i="4"/>
  <c r="H42" i="4"/>
  <c r="H41" i="4"/>
  <c r="H40" i="4"/>
  <c r="H39" i="4"/>
  <c r="E27" i="2"/>
  <c r="E28" i="2" s="1"/>
  <c r="E26" i="2"/>
  <c r="P8" i="7"/>
  <c r="G17" i="1"/>
  <c r="E45" i="2"/>
  <c r="E44" i="2"/>
  <c r="E43" i="2"/>
  <c r="E42" i="2"/>
  <c r="E41" i="2"/>
  <c r="E40" i="2"/>
  <c r="E25" i="1"/>
  <c r="E29" i="10" l="1"/>
  <c r="E30" i="10" s="1"/>
  <c r="E31" i="10" s="1"/>
  <c r="E28" i="10"/>
  <c r="F1" i="11"/>
  <c r="A22" i="1"/>
  <c r="G25" i="1"/>
  <c r="G1" i="12" l="1"/>
  <c r="A23" i="1"/>
  <c r="G1" i="13" s="1"/>
  <c r="G27" i="1"/>
  <c r="G26" i="1"/>
  <c r="G29" i="1" s="1"/>
  <c r="G32" i="1" l="1"/>
  <c r="G33" i="1" s="1"/>
  <c r="D8" i="1" s="1"/>
</calcChain>
</file>

<file path=xl/sharedStrings.xml><?xml version="1.0" encoding="utf-8"?>
<sst xmlns="http://schemas.openxmlformats.org/spreadsheetml/2006/main" count="1819" uniqueCount="604">
  <si>
    <t>Kopsavilkuma aprēķini pa darbu vai konstruktīvo elementu veidiem N.1.</t>
  </si>
  <si>
    <t>Celtniecības remontdarbi</t>
  </si>
  <si>
    <t>Būves nosaukums: Daudzdzīvokļu dzīvojamās mājas fasādes vienkāršotā atjaunošana</t>
  </si>
  <si>
    <t>Objekta nosaukums: Daudzdzīvokļu dzīvojamās mājas Ed. Tisē ielā 48, Liepājā, 
fasādes vienkāršotā atjaunošana</t>
  </si>
  <si>
    <t>Objekta adrese: Tisē iela 48 Liepājā</t>
  </si>
  <si>
    <t>Pasūtījuma Nr.WS-64-15</t>
  </si>
  <si>
    <t>Pasūtītājs: SIA "Liepājas namu apsaimniekotājs"</t>
  </si>
  <si>
    <t>Par kopējo summu, euro:</t>
  </si>
  <si>
    <t>Kopājā darbietilpība, c/h:</t>
  </si>
  <si>
    <t>Tāme sastādīta  201_.gada ___.______________</t>
  </si>
  <si>
    <t>Lokālās tāmes Nr.</t>
  </si>
  <si>
    <t>Darba veids vai konstruktīvā elementa nosaukums</t>
  </si>
  <si>
    <t>Darba ietilpība, (c/h)</t>
  </si>
  <si>
    <t>Tai skaitā</t>
  </si>
  <si>
    <t>Tāmes izmaksas (euro)</t>
  </si>
  <si>
    <t>Darba alga, (euro)</t>
  </si>
  <si>
    <t>Materiāli, (euro)</t>
  </si>
  <si>
    <t>Mehānismi, (euro)</t>
  </si>
  <si>
    <t>Kopā būvdarbi:</t>
  </si>
  <si>
    <t>Virsizdevumi:</t>
  </si>
  <si>
    <t>Peļņa:</t>
  </si>
  <si>
    <t>Darba devēja sociālais nodoklis:</t>
  </si>
  <si>
    <t>kopā</t>
  </si>
  <si>
    <t>bez PVN</t>
  </si>
  <si>
    <t>Finanšu rezerve</t>
  </si>
  <si>
    <t>PVN:</t>
  </si>
  <si>
    <t>Pavisam kopā:</t>
  </si>
  <si>
    <t>Sastādīja:</t>
  </si>
  <si>
    <t>būvprakses sertifikāts Nr.</t>
  </si>
  <si>
    <t>Pārbaudīja:</t>
  </si>
  <si>
    <t>sertifikāta Nr.:</t>
  </si>
  <si>
    <t>Lokālā tāme Nr.:</t>
  </si>
  <si>
    <t>Ārsienu siltināšanas darbi</t>
  </si>
  <si>
    <t>Tāme sastādīta 2018.gada tirgus cenās, pamatojoties uz:</t>
  </si>
  <si>
    <t>ARun BK</t>
  </si>
  <si>
    <t>daļas rasējumiem</t>
  </si>
  <si>
    <t>Tāmes izmaksas euro:</t>
  </si>
  <si>
    <t>Nr.p.k.</t>
  </si>
  <si>
    <t>Kods</t>
  </si>
  <si>
    <t>Darba nosaukums</t>
  </si>
  <si>
    <t>Mērvienība</t>
  </si>
  <si>
    <t>Daudzums</t>
  </si>
  <si>
    <t>Vienības izmaksas</t>
  </si>
  <si>
    <t>Kopā uz visu apjomu</t>
  </si>
  <si>
    <t>Laika norma,
(c/h)</t>
  </si>
  <si>
    <t>Darba samaksas likme (euro/h)</t>
  </si>
  <si>
    <t>Darba alga
(euro)</t>
  </si>
  <si>
    <t>Materiāli
(euro)</t>
  </si>
  <si>
    <t>Mehānismi
(euro)</t>
  </si>
  <si>
    <t>Kopā
(euro)</t>
  </si>
  <si>
    <t>Darbietilpība
(c/h)</t>
  </si>
  <si>
    <t>Summa
(euro)</t>
  </si>
  <si>
    <t>līg.c.</t>
  </si>
  <si>
    <t>Metāla nožogojuma montāža, h=2,0 m</t>
  </si>
  <si>
    <t>m</t>
  </si>
  <si>
    <t>Žogs 3,5×2m</t>
  </si>
  <si>
    <t>gb</t>
  </si>
  <si>
    <t>Pēda</t>
  </si>
  <si>
    <t>Būvtāfele</t>
  </si>
  <si>
    <t>Sastatņu montēšana</t>
  </si>
  <si>
    <t>m²</t>
  </si>
  <si>
    <t>Sastatnes</t>
  </si>
  <si>
    <t>Moduļu tualetes uzstādīšana</t>
  </si>
  <si>
    <t>Tualetes izvešana</t>
  </si>
  <si>
    <t>reizes</t>
  </si>
  <si>
    <t>Moduļu mājas uzstādīšana. Paredzēts 24 cilvēkiem.</t>
  </si>
  <si>
    <t>Parapetu skārda apšuvumu demontāža</t>
  </si>
  <si>
    <t>Cokola profila līstes montēšana EJOT PRAKTIKA vai ekvivalents</t>
  </si>
  <si>
    <t>Ārsienas sagatavošana siltināšanai - virsmu notīrīšana un gruntēšana</t>
  </si>
  <si>
    <t>Grunts Cerasit CT 17 vai ekvivalents</t>
  </si>
  <si>
    <t>kg</t>
  </si>
  <si>
    <t>Virsmas apstrāde ar biocīdu, analogs Sakret GFR  (vietās kur nepieciešams) vai ekvivalents</t>
  </si>
  <si>
    <t>Bīocīdu preparāts CERESIT CT99 vai ekvivalents</t>
  </si>
  <si>
    <t>l</t>
  </si>
  <si>
    <t>Ārsienu  siltināšana ar akmensvati līmējot un piestiprinot to pie ārsienas ar mehāniskajiem stiprinājumiem</t>
  </si>
  <si>
    <t>Līmjava Ceresit CT 190  vai ekvivalents</t>
  </si>
  <si>
    <t>Dībeli EJOT H4 Eco vai ekvivalents 215mm</t>
  </si>
  <si>
    <t>gab</t>
  </si>
  <si>
    <t>Dībeli EJOT H4 Eco vai ekvivalents 135mm</t>
  </si>
  <si>
    <t>Durvju un logu aiļu apdare ar akmensvates plātnēm (analogs Paroc Linio 15)  b=30mm,platums~ 0,10m*</t>
  </si>
  <si>
    <t>Siltumizolācija sienām</t>
  </si>
  <si>
    <t>m2</t>
  </si>
  <si>
    <t>Līmjava Ceresit CT180 vai ekvivalents</t>
  </si>
  <si>
    <t>Dībeli EJOT H3 vai ekvivalents Eco 75mm</t>
  </si>
  <si>
    <t>Līmjava Ceresit CT 190 vai ekvivalents</t>
  </si>
  <si>
    <t>Siets stikla šķiedra</t>
  </si>
  <si>
    <t>Papildus armējums apkārrt  loga un durvju  ailām ar sietu , platums=0,3×0,5m, b=3mm</t>
  </si>
  <si>
    <t>Logu un durvju aiļu ārējo stūru armēšana ar sietu papildus sietu 0,3m platumā no ailes un ailē (ekviv. Valmieras E-stikls) stiepes izturība &gt;200N/5cm, Struktūras stabilitāte &gt;22%, Atbilst REACH , sieta acojuma lielums 4×4mm.</t>
  </si>
  <si>
    <t>Blīvējošās lentas montēšana ap logu ailām u.c. vietām.</t>
  </si>
  <si>
    <t>1. meh. klases apmetuma izveidošana: 1 kārtas armējošās javas un armējošā stikla šķiedras sieta uzklāšana (analogs Ceresit CT 190), zemapmetuma grunts uzklāšana (analogs Ceresit CT 16), dekoratīvā gatavā silikona apmetuma ar tonējumu uznešana (analogs Ceresit CT174).</t>
  </si>
  <si>
    <t>Grunts Ceresit CT 16 vai ekvivalents</t>
  </si>
  <si>
    <t>Siliktā -silikona homogēnais apmetums Ceresit CT174 vai ekvivalents, 2mm graudu lielums</t>
  </si>
  <si>
    <t>Paligmateriāli</t>
  </si>
  <si>
    <t>komp</t>
  </si>
  <si>
    <t>Zemapmetuma PVC  ārējā stūra profila montāža</t>
  </si>
  <si>
    <t>Iekšējo stūru armējums visā ēkas augstumā</t>
  </si>
  <si>
    <t>Stūra profils ar armējumu visā augstumā visos ēkas stūros</t>
  </si>
  <si>
    <t>Metāla karoga kāta turētāja montāža</t>
  </si>
  <si>
    <t>Būvgružu savākšana un aizvešana</t>
  </si>
  <si>
    <t>m³</t>
  </si>
  <si>
    <t>Gružu konteiners</t>
  </si>
  <si>
    <t>Kopā :</t>
  </si>
  <si>
    <t>Transporta izdevumi no materiālu izdevumiem:</t>
  </si>
  <si>
    <t>Kopā izmaksas:</t>
  </si>
  <si>
    <t>Perimetrs lentei, m</t>
  </si>
  <si>
    <t>aiļu apdares m², ailes platums</t>
  </si>
  <si>
    <t>palodzes, m</t>
  </si>
  <si>
    <t>Profili, m</t>
  </si>
  <si>
    <t>ALB-EB / Cokola profils 0,8 mm un 1.0 mm</t>
  </si>
  <si>
    <t>ALB-EW-US(01)-20 / Palodzes montāžas profils ar sietu</t>
  </si>
  <si>
    <t>ALB-EW-CS(01)-20 / Palodzes sāna pieslēguma profils</t>
  </si>
  <si>
    <t>tips</t>
  </si>
  <si>
    <t>skaits</t>
  </si>
  <si>
    <t>Loga izmērs, m</t>
  </si>
  <si>
    <t>Logu platība m²</t>
  </si>
  <si>
    <t>ārējās</t>
  </si>
  <si>
    <t>iekšējās</t>
  </si>
  <si>
    <t>Stūra profils  EC S</t>
  </si>
  <si>
    <t>Loga pielaiduma profils EW</t>
  </si>
  <si>
    <t>Stūra lāsenis ED CO2</t>
  </si>
  <si>
    <t>Palodzes montāžas profils EW US01</t>
  </si>
  <si>
    <t>Cokola profils EB PVC VARIO 220</t>
  </si>
  <si>
    <t>esošie PVC</t>
  </si>
  <si>
    <t>maināmie koka</t>
  </si>
  <si>
    <t>L</t>
  </si>
  <si>
    <t>h</t>
  </si>
  <si>
    <t>1.gb.</t>
  </si>
  <si>
    <t>hidroizolācijas</t>
  </si>
  <si>
    <t>difūzijas</t>
  </si>
  <si>
    <t>L1'/L1''</t>
  </si>
  <si>
    <t>L2</t>
  </si>
  <si>
    <t>L3</t>
  </si>
  <si>
    <t>L3'</t>
  </si>
  <si>
    <t>L3''</t>
  </si>
  <si>
    <t>L4</t>
  </si>
  <si>
    <t>L4 durvis</t>
  </si>
  <si>
    <t>L4'</t>
  </si>
  <si>
    <t>L4' durvis</t>
  </si>
  <si>
    <t>ALB-EC-100 / Stūra profils, stūris siltināšanai</t>
  </si>
  <si>
    <t>ALB-EC-S-20 / Stiprināts stūra profils</t>
  </si>
  <si>
    <t>ALB-EW-CS(02)-20 / Palodzes sāna montāžas profils</t>
  </si>
  <si>
    <t>L5</t>
  </si>
  <si>
    <t>L5 durvis</t>
  </si>
  <si>
    <t>L5'</t>
  </si>
  <si>
    <t>L5' durvis</t>
  </si>
  <si>
    <t>Pagraba logs Nr.1</t>
  </si>
  <si>
    <t>Pagraba logs Nr.2</t>
  </si>
  <si>
    <t>UL-1</t>
  </si>
  <si>
    <t>UD-1</t>
  </si>
  <si>
    <t>Kāpņu telpas logs</t>
  </si>
  <si>
    <t>Kāpņu telpas durvis</t>
  </si>
  <si>
    <t>D-1 (durvis lifta tehniskai telpai)</t>
  </si>
  <si>
    <t>D2</t>
  </si>
  <si>
    <t>D3 (atkritumu telpai)</t>
  </si>
  <si>
    <t>ALB-ED-C(01)-25 / Stūra profils ar lāseni un sietu</t>
  </si>
  <si>
    <t>ALB-EW-09-24 / Logu pielaiduma profils / 9 mm (ar sietu) 2.4m</t>
  </si>
  <si>
    <t>R2</t>
  </si>
  <si>
    <t>ALB-ED-C(02)-25 / Stūra profils ar lāseni, ar atsegtu kanti</t>
  </si>
  <si>
    <t>ALB-EW-06-24 / Logu pielaiduma profils / 6 mm (ar sietu)</t>
  </si>
  <si>
    <t>SILTINĀJUMU PLATĪBAS</t>
  </si>
  <si>
    <t>Apz.</t>
  </si>
  <si>
    <t>Apraksts</t>
  </si>
  <si>
    <t>Platība, m²</t>
  </si>
  <si>
    <t>Sienas siltinājums</t>
  </si>
  <si>
    <t>Sistēma</t>
  </si>
  <si>
    <t>S1 Vieglbetona paneļu ārējās sienas siltinājums</t>
  </si>
  <si>
    <t>Apmetuma sistēma virs siltinājuma (AS-1); grunts; siltinājums - akmensvate (PAROC Linio 10 vai  ekviv.)  λ=0,036W/m²K, b=170mm; līmjava; grunts; esošā siena - vieglbetona panelis,b=250mm</t>
  </si>
  <si>
    <t>AS1</t>
  </si>
  <si>
    <t>Tīrais apmetums</t>
  </si>
  <si>
    <t>pēc fasādēm skatīt rasējumu</t>
  </si>
  <si>
    <t>S2 Pamatu sienu siltinājums</t>
  </si>
  <si>
    <t>Apmetuma sistēma virs siltinājuma (AS-1), b=7mm; grunts; putupolistirola plāksne , ekviv.  Tenapors Extra Neo EPS100 λ=0,034W/m²K,b=150mm; līmjava; vertikālā hidroizolācija; grunts; esošā  siena -ribotais panelis, b=350/140mm</t>
  </si>
  <si>
    <t>S3 Lodžiju starpsienu siltinājums, lodžiju pārseguma galu siltinājums</t>
  </si>
  <si>
    <t>Apmetuma sistēma virs siltinājuma (AS-2); siltinājums - akmensvate (Paroc Linio 15 vai ekvivalents) λ=0,037W/mK, b=30mm; līmjava; gruntējums; esoša vieglbetona starpsiena,b=160*mm; gruntējums; līmjava; siltinājums - akmensvate (Paroc Linio 15 vai ekvivalents) λ=0,037W/mK, b=30mm; apmetuma sistēma virs siltinājuma (AS-1)</t>
  </si>
  <si>
    <t>Plāna lapa AR-9 katras vietas platums × stāva augstums×stāvu skaits × vietu skaits
+ tas pats bet lodžijas starpsienas preikšai
Lodžiju satrpaneļu siltinājumu sklatīt pie lodžiju lokālās tāmes</t>
  </si>
  <si>
    <t>S4 Ārsienas siltinājums</t>
  </si>
  <si>
    <t>Apmetuma sistēma virs siltinājuma (AS-1 vai AS-2); siltinājums - SPU materiāls (Kooltherm K5 vai ekvivalents; λ=0,021 W/mK), b=40mm; līmjava; gruntējums; esoša betona paneļu siena, b=250mm</t>
  </si>
  <si>
    <t>Plāna lapa AR-9 katras vietas platums × stāva augstums×stāvu skaits × vietu skaits</t>
  </si>
  <si>
    <t>S5 Sienu siltinājums (pie parapeta un kāpņu telpas izbūves uz jumta)</t>
  </si>
  <si>
    <t>Apmetuma sistēma virs siltinājuma (AS-1); siltinājums - akmensvate (Paroc Linio 15  vai ekvivalents) λ=0,037W/mK, b=30mm; līmjava, gruntējums, esoša  siena,b=160*mm</t>
  </si>
  <si>
    <t>jumta iekšējias perimetrs ×augstums
+ Jumpta parapeta augšas siltinājums mezgls BK-3 lapā 
Siltināta jumta savienojums ar parapetu. Parapetu  paaugstināšana</t>
  </si>
  <si>
    <t>P1 Pārseguma virs caurbrauktuves siltinājums (zem dzīvojamām telpām)</t>
  </si>
  <si>
    <t>Atjaunotā betona kārta,b=40mm; esošais dz-betona pārsegums, b=220mm; līmjava; siltinājums PAROC Linio 10 vai analogs, λ=0,036W/mK, b=170mm; līmjava uz stiklšķiedras sieta, b=10mm, ārējā apdare (krāsots struktūrapmetums )</t>
  </si>
  <si>
    <t>P2 Pagraba pārseguma siltinājums</t>
  </si>
  <si>
    <t>Esošs grīdas sastāvs, b=80mm, esošais dz-betona pārsegums, b=220mm; līmjava; akmensvates lamele 
ekviv. Paroc CGL 20 CY 0,037 W/m²K, b=150mm;</t>
  </si>
  <si>
    <t>P3 Jumta siltinājums virs dzīvojamām telpām
(skatīt BK daļā)</t>
  </si>
  <si>
    <t>Polimēra membrānas jumta segums; akmensvate, ekvivalents PAROC ROB 80, 0,038 W/mK), b=20mm; akmensvate (ekvivalents PAROC ROS 30, 0,036 W/mK), b=140mm; akmensvate (ekvivalents PAROC ROS 30, 0,036 W/mK), b=140mm;                           
tvaika izolācija; esošais dz-betona pārsegums, b=220mm</t>
  </si>
  <si>
    <t>Logu nomaiņa</t>
  </si>
  <si>
    <t>Tāmes izmaksas</t>
  </si>
  <si>
    <t>euro</t>
  </si>
  <si>
    <t>Tāme sastādīta  2018.gada __._________</t>
  </si>
  <si>
    <t>Esošo koka logu, tsk. ārdurvju demontāža</t>
  </si>
  <si>
    <t>Esošo skārda āra palodžu demontāža, b=0,25.</t>
  </si>
  <si>
    <t>Ārējo palodžu - skārda, montēšana  b=0,5m  (t.sk.1.st.lodžiju apakš. mala)</t>
  </si>
  <si>
    <t>PVC loga  bloks ar  stikla paketi krāsa - balta Stikla paketes 1. Stikla paketes ar siltuma caurlaidības koef.: Ug 1,0 w/m²×K. Rāmja siltuma caurlaidības koef.: Uf 1,1 W / m² K. Uw 1.0 W/m² K.2. PVC profilu ekspluatēšanas klimatiskā zona -zona S. 3. PVC profila montāžas dziļums ( profila biezums ) ≤ 78 mm</t>
  </si>
  <si>
    <t>Skaits</t>
  </si>
  <si>
    <t>A, m</t>
  </si>
  <si>
    <t>B, m</t>
  </si>
  <si>
    <t>Logs ar ugunsizturību EI30. Nepieciešamo hermētiskumu nodrošina speciālas ugunsizturīgas blīvgumijas, kas izvietotas pa loga perimetru. 
Rāmja siltumcaurlaidības koef.:1.6w/m²*K</t>
  </si>
  <si>
    <t>Cinkotas krāsotas metāla durvis ar ugunsizturību EI30, automātisko pašaizvēršanās mehānismu. Ugunsdrošo durvju vienpunkta slēdzene un viras izgatavo no materiāla, kas nodrošina ugunsizturīgām konstrukcijām izvirzīto prasību minimālāko pakāpi. Nepieciešamo hermētiskumu nodrošina speciālas ugunsizturīgas blīvgumijas, kas izvietotas pa durvju kārbas perimetru. Rāmja siltumcaurlaidības koef.:1.6w/m²*K</t>
  </si>
  <si>
    <t>Cinkota tērauda konstrukcijas durvis. Komplektā ar rokturi un eņģēm, ar pašaizvēršanās mehānismu, speciālām  blīvgumijām un piedurlīstēm, vienpuktu slēdzeni.
Rāmja siltumcaurlaidības koef.:1.6 w/m2/*K</t>
  </si>
  <si>
    <t>PVC loga  bloks ar  daļu no stikla paketes krāsa - balta. Daļa no metāla žalūzijas - regulējama, verama</t>
  </si>
  <si>
    <t>Logu montāžas palīgmateriāli uz  apjomu</t>
  </si>
  <si>
    <t>montāžas skavas</t>
  </si>
  <si>
    <t>dibeļi</t>
  </si>
  <si>
    <t>montāžas puta</t>
  </si>
  <si>
    <t>skrūves</t>
  </si>
  <si>
    <t>hermētiķis SILIKON</t>
  </si>
  <si>
    <t>palodzes profils</t>
  </si>
  <si>
    <t>Regulējama cinkotā (120mikroni) metāla žalūzija</t>
  </si>
  <si>
    <t>PVC lodžiju norobežojošais rāmis montāža  (b×h=1,0×3), tonos RAL 8016, t.sk. pvc nosegmarga, Lodzīju rāmī integrēts horizontālais nesošais profils</t>
  </si>
  <si>
    <t>PVC lodžiju norobežojošais rāmis montāžas plaīgmateriāli</t>
  </si>
  <si>
    <t>kpl.</t>
  </si>
  <si>
    <t>Projektēts kompozītais alumīnija panelis (piestiprināts pie esošā paneļa ar 6-8 skrūvēm/m2/, ∅6), b=4mm, krāsu tonis: skat. krāsu pasē (ekvivalents: NEOBOND) RAL 8016</t>
  </si>
  <si>
    <t>3,2×1m</t>
  </si>
  <si>
    <t>0,9×1m</t>
  </si>
  <si>
    <t>Nosegskārda mala l=0,1m, krāsu pasē nodefinētajā tonī, t.sk. savienojošie nosegprofili</t>
  </si>
  <si>
    <t>Hidroizolācijas lentas montēšana logos (analogs CONTEGA Exo).</t>
  </si>
  <si>
    <t>Difūzujas lentas montēšana nomaināmajos logos (analogs CONTEGA  SL).</t>
  </si>
  <si>
    <t>Jaunu iekštelpu PVC palodžu montēšana, b=350mm.</t>
  </si>
  <si>
    <t>Apmetuma atjaunošana pēc logu nomaiņas telpu iekšpusē, remonts ap logu ailu.</t>
  </si>
  <si>
    <t>šinas</t>
  </si>
  <si>
    <t>reģipsis</t>
  </si>
  <si>
    <t>vate</t>
  </si>
  <si>
    <t>perfix</t>
  </si>
  <si>
    <t>VH</t>
  </si>
  <si>
    <t>krāsa</t>
  </si>
  <si>
    <t>Līmlente</t>
  </si>
  <si>
    <t>Pagraba siltināšana</t>
  </si>
  <si>
    <t>Gružu izvākšanam, grīdas attīrīšana</t>
  </si>
  <si>
    <t>Esošo koku k-ciju augšdaļas nozāģēšana par 0,15m (precizēt uz vietas)</t>
  </si>
  <si>
    <t>Nozāģēto sieniņu enkurošana pie griestiem (precizēt uz vietas)</t>
  </si>
  <si>
    <t>Dzelzsbetona pārsegumu notīrīšana, izlīdzināšana, sagatavošana siltināšanai</t>
  </si>
  <si>
    <t>Siltumizolācijas akmensvates lameļu līmēšana pie pārseguma apakšas  (vai ekvivalents Paroc CGL20 CY), b=150mm, λ=0,037 W/M²k</t>
  </si>
  <si>
    <t>Siltumizolācija</t>
  </si>
  <si>
    <t>Līmjava CERESIT CT180 vai ekvivalents</t>
  </si>
  <si>
    <t>Cokola siltināšanas darbi</t>
  </si>
  <si>
    <t>Betona plātņu noņemšana</t>
  </si>
  <si>
    <t>Cokola apmetuma nokalšana</t>
  </si>
  <si>
    <t>Grunts rakšanas darbi 1,2m dziļumā,1000 mm platumā</t>
  </si>
  <si>
    <t>Cokola sienas sagatavošana siltināšanai - virsmu notīrīšana un gruntēšana,</t>
  </si>
  <si>
    <t>Grunts hidroizolācijai Denbit-R (11kg patēriņš aptuveni 0,5kg/m2) vai ekvivalents</t>
  </si>
  <si>
    <t>Jaunas šķidrās hidroizolācijas uzklāšana  visā siltinājuma augstumā</t>
  </si>
  <si>
    <t>hidroizolācija Denbit-D (19kg patēriņš aptuveni 1,0kg/m2) vai ekvivalents</t>
  </si>
  <si>
    <t>Siltumizolācija Tenapor Extra Neo EPS 100 vai ekvivalents</t>
  </si>
  <si>
    <t>Līmjava CERESIT ZS vai ekvivalents</t>
  </si>
  <si>
    <t>Dībeli EJOT H3 195mm vai ekvivalents</t>
  </si>
  <si>
    <t>Atrakto vietu aizbēršana ar esošo minerālgrunti</t>
  </si>
  <si>
    <t>Cokola apmešana ar apmetumu uz minerālšķiedru sieta (b=7mm) un krāsošana</t>
  </si>
  <si>
    <t>Armējošā līmjava CERESIT ZU vai ekvivalents</t>
  </si>
  <si>
    <t>kvarca apmetumu CERESIT CT77 vai ekvivalents</t>
  </si>
  <si>
    <t>Cementa bāzes hidroizolācijas l=375*mm ieklāšana cokola daļā</t>
  </si>
  <si>
    <t>AQUAFIN-2K/M vai ekvivalents 3 kārtas</t>
  </si>
  <si>
    <t>Jaunu bruģakmens lietusūdens novadīšanas apmaļu ierīkošana:</t>
  </si>
  <si>
    <t>Ģeotekstila plēves ieklāšana</t>
  </si>
  <si>
    <t>Šķembas (fr.40-70mm) kārtas ieklāšana 100mm</t>
  </si>
  <si>
    <t>šķembas</t>
  </si>
  <si>
    <t>m3</t>
  </si>
  <si>
    <t>Bortakmens  betona pamatu  ierīkošana</t>
  </si>
  <si>
    <t>Šķembas (fr.0-40mm) kārtas ieklāšana 50mm</t>
  </si>
  <si>
    <t>Grants kārtas ieklāšana 50mm</t>
  </si>
  <si>
    <t>grants</t>
  </si>
  <si>
    <t>Bruģakmens 700mm biez.likšana 26gab/m²</t>
  </si>
  <si>
    <t>Betona bruģis</t>
  </si>
  <si>
    <t>Izsijas -50mm</t>
  </si>
  <si>
    <t>Bortakmens 80x200x1000  malas likšana 1gb/t.m</t>
  </si>
  <si>
    <t>Būvkonstrukciju sadaļa</t>
  </si>
  <si>
    <t>Tāme sastādīta  201_.gada __._______</t>
  </si>
  <si>
    <t>Balkonu plātņu pastirpināšanas risinājumi</t>
  </si>
  <si>
    <t>Demontējams izvads starp 8.-9. starpstāvu paneli un jumta izbūvi, ∅500</t>
  </si>
  <si>
    <t>L75x50x5</t>
  </si>
  <si>
    <t>Enkuri M12x80</t>
  </si>
  <si>
    <t>Siets ∅8 AI, 100x100</t>
  </si>
  <si>
    <t>Siets ∅6 AI, 100x100</t>
  </si>
  <si>
    <t>Betons B15 F50</t>
  </si>
  <si>
    <t>Tērauda profilu apstrāde ar pretkorozijas sastāvu</t>
  </si>
  <si>
    <t>grunts Korrostop vai ekvivalents</t>
  </si>
  <si>
    <t>Jumta atjaunošana</t>
  </si>
  <si>
    <t>Tāme sastādīta  201_.gada __._________</t>
  </si>
  <si>
    <t>Esošo ventilācijas izvadu skārda jumtiņu demontāža, 4 gab.</t>
  </si>
  <si>
    <t>Esošo kanalizācijas ventilācijas izvadu dz-betona jumtiņu demontāža</t>
  </si>
  <si>
    <t>Azbestcementa ventilācijas izvada demontāža  (Ø400*mm)</t>
  </si>
  <si>
    <t>Mastveida antenu ar trošu stiprinājumiem noņemšana un atpakaļ montēšana pēc atjaunošanas darbiem</t>
  </si>
  <si>
    <t>Esošā ruberoīda seguma noplēšana no jumta virsmas</t>
  </si>
  <si>
    <t>Esošo jumta dzelzsbetona paneļu virsmu attīrīšana no esošās keramzītbetona kārtas 150mm biezumā.</t>
  </si>
  <si>
    <t>Dzelzsbetona paneļu virsmu attīrīšana</t>
  </si>
  <si>
    <t>Jumta margu izbūve ar balstiem ekvivalents "KeeGuard”</t>
  </si>
  <si>
    <t>Jumta izbūve (Siltinājuma mezgls P3 un P4)</t>
  </si>
  <si>
    <t>Tvaika izolācijas ieklāšana</t>
  </si>
  <si>
    <t>2 kārtu akmensvates siltumizolācijas mat. ieklāšana (ekvivalents PAROC ROS 30, b=140+140mm), λ=0,038 W/Mk</t>
  </si>
  <si>
    <t>Akmensvates siltumizolācijas mat. ieklāšana (ekvivalents PAROC ROB 80, b=20mm), λ=0,036 W/Mk</t>
  </si>
  <si>
    <t>Polimērmembrānas (ekvivalents Logicroof V-RP) jumta seguma ieklāšana, b=1,05mm</t>
  </si>
  <si>
    <t>Jumta siltinājuma centrālās zonas polimērmembrānas seguma stiprināšana ar teleskopiskiem enkuriem ar pašenkurojošu skrūvi  Ø4,8mm, 45mm</t>
  </si>
  <si>
    <t>Jumta siltinājuma malas zonas polimērmembrānas seguma stiprināšana ar teleskopiskiem enkuriem ar pašenkurojošu skrūvi  Ø4,8mm, 45mm</t>
  </si>
  <si>
    <t>Jumta siltinājuma stūra zonas polimērmembrānas seguma stiprināšana ar teleskopiskiem enkuriem ar pašenkurojošu skrūvi  Ø4,8mm, 45mm</t>
  </si>
  <si>
    <t>Jumta pieslēgumu vietu izvietošana gar ventilācijas skursteņiem un nesiltinātu jumta izbūvju ārsienu virsmu:</t>
  </si>
  <si>
    <t>Palīgveidgabali pieslēgumu, pāreju, savienojumu izveidei</t>
  </si>
  <si>
    <t>Parapeta paugstinājuma izbūve no gāzbetona blokiem 250×600×200(h)</t>
  </si>
  <si>
    <t>gāzbetona bloki</t>
  </si>
  <si>
    <t>līmjava</t>
  </si>
  <si>
    <t>Enkuru Ø12, l=300, s=600 izbūve</t>
  </si>
  <si>
    <t>papildus pieslēguma stūra izveide no vieglbetona</t>
  </si>
  <si>
    <t>Akmensvates siltumizolācijas ieklāšana gar parapeta iekšmalu (ekviv. PAROC ROS 30); b=50mm.</t>
  </si>
  <si>
    <t>Cietās akmensvates siltumizolācijas plātnes montēšana parapeta augšpusē (ekviv. PAROC ROS 30), b=30mm</t>
  </si>
  <si>
    <t>Parapeta apdares izveide no skārda</t>
  </si>
  <si>
    <t>skārda enkurplakne b=1mm, l=750*mm</t>
  </si>
  <si>
    <t>Ķīļenkuri Ø12x125, s=600mm skārda loksnes nostirpināšanai</t>
  </si>
  <si>
    <t>Ķīļenkuri Ø12x250, s=600mm skārda loksnes nostirpināšanai no gala</t>
  </si>
  <si>
    <t>koka brusa 30×100, b=400mm</t>
  </si>
  <si>
    <t>Ķīļenkuri Ø12x125, s=600mm koka bruses nostirpināšanai</t>
  </si>
  <si>
    <t>Izlocīta ar aizlocēm nosegskārda 0,6mm montāža</t>
  </si>
  <si>
    <t>Plāksnes nokrāsošana ar antikorozijas sastāvu</t>
  </si>
  <si>
    <t>Krasa</t>
  </si>
  <si>
    <t>Hermetizējošas mastikas ieklāšana gropes un skārda salaiduma vietā.</t>
  </si>
  <si>
    <t>Papildus polimēra membrānas seguma ieklāšana, b=400mm</t>
  </si>
  <si>
    <t>Kausēta jumta membrānas šuves izveidošana - šuves platums 30 mm</t>
  </si>
  <si>
    <t>9 stāvu apjoma jumta pieslēgumu vietu izvietošana gar jumta izbūvēm:</t>
  </si>
  <si>
    <t>Ārsienas apakšējās daļas noklāšana ar hidroizolācijas sastāvu</t>
  </si>
  <si>
    <t>hidroizolācija</t>
  </si>
  <si>
    <t>Mitrumizturīgās siltinājuma plāksnes pielīmēšana (ekvivalents Tenapor Extra), b=100mm</t>
  </si>
  <si>
    <t>Līmjava</t>
  </si>
  <si>
    <t>Dībeli</t>
  </si>
  <si>
    <t>Parapeta paugstinājuma izbūve no gāzbetona blokiem 250×600×200(h) jumta izbūvju vietās</t>
  </si>
  <si>
    <t>Papildus polimēra membrānas seguma ieklāšana, b=600mm.</t>
  </si>
  <si>
    <t>Gala līstes montēšana un stiprināma ar pašskrūvējamām skrūvēm (solis 200mm)</t>
  </si>
  <si>
    <t>Hermetizējošas mastikas ieklāšana</t>
  </si>
  <si>
    <t>Cokola profila montēšana</t>
  </si>
  <si>
    <t>Blīvējošas lentas montēšana zem cokola līstes</t>
  </si>
  <si>
    <t>Parapeta nosedzošās cinkota skārda apmales, b=900mm, aplocīšana ap metāla plāksnēm.</t>
  </si>
  <si>
    <t>skārds</t>
  </si>
  <si>
    <t>Skrūves</t>
  </si>
  <si>
    <t>Skursteņu paaugstināšana ar vienu ķieģeļa mūra kārtu</t>
  </si>
  <si>
    <t>Ķieģeļi</t>
  </si>
  <si>
    <t>Cementa java</t>
  </si>
  <si>
    <t>Skursteņu apmešana un krāsošana</t>
  </si>
  <si>
    <t>Krāsa</t>
  </si>
  <si>
    <t>kpl</t>
  </si>
  <si>
    <t>Skursteņu jumtiņu montēšana (ekvivalents Akvilon izstrādājumiem) 0,3*×3*m</t>
  </si>
  <si>
    <t>Jaunu kanalizācijas izvadu zonžu montēšana (11 gab)</t>
  </si>
  <si>
    <t>Papildus polimērmembrānas loksnes ieklāšana ap izvadu zondēm.</t>
  </si>
  <si>
    <t>Jaunu skārda tekņu un noteku montēšana Ø110</t>
  </si>
  <si>
    <t>tekne</t>
  </si>
  <si>
    <t>noteka</t>
  </si>
  <si>
    <t>teknes stiprinājums  ar dībeli</t>
  </si>
  <si>
    <t>notekas stiprinājums  ar dībeli</t>
  </si>
  <si>
    <t>piltuves</t>
  </si>
  <si>
    <t>veidgabali, līkums</t>
  </si>
  <si>
    <t>Atkritumu vadu pagarināšana virsjumta daļās:</t>
  </si>
  <si>
    <t>savācējgrozu montēšana un iestrāde jumta seguma ar savienojuma pāreju uz esošo lietus ūdens novadīšanas cauruli</t>
  </si>
  <si>
    <t>plaīgmateriāli</t>
  </si>
  <si>
    <t>hermatizācija</t>
  </si>
  <si>
    <t>Ieejas mezglu atjaunošana</t>
  </si>
  <si>
    <t>Tāme sastādīta  201_.gada __.________</t>
  </si>
  <si>
    <t>Ieejas mezgla virsmas atjaunošana</t>
  </si>
  <si>
    <t>Esošā betona laukuma un pakāpienu remonts:</t>
  </si>
  <si>
    <t>esošas betona virsmas daļeja nokalšana  (labākai saķerei ar jauno pārklājumu)</t>
  </si>
  <si>
    <t>laukuma virsmas atjaunošana ar betona B20,F50 sastāvu ar metāla skaidu piejaukumu, b=30mm</t>
  </si>
  <si>
    <t>betons</t>
  </si>
  <si>
    <t>Ieejas mezgla konstrukcijas atjaunošana</t>
  </si>
  <si>
    <t>Betona laukuma virsmas noņemšana ~ 30 mm</t>
  </si>
  <si>
    <t>Laukuma virsmas atjaunošana ar betona B20,F50 sastāvu ar metāla skaidu piejaukumu, b=30mm Laukuma virsmas atjaunošana ar betona B20,F50 sastāvu ar metāla skaidu piejaukumu, b=30mm</t>
  </si>
  <si>
    <t>Laukumu slīpēšana, nodrošinot abrazīvu virsmu</t>
  </si>
  <si>
    <t>Lieveņu  atjaunošana:</t>
  </si>
  <si>
    <t>Esošā betona lieveņa demontāža</t>
  </si>
  <si>
    <t>Rakšanas darbi jaunā lieveņa izveidošanai</t>
  </si>
  <si>
    <t>Esošās grunts noblietēšana</t>
  </si>
  <si>
    <t>Vidēji rupjas smilts sagatavojuma kārtas un pildījuma izveidošana, b=100mm</t>
  </si>
  <si>
    <t>smilts</t>
  </si>
  <si>
    <t>Lieveņa izveidošana no betona B20, F50, b=0,3m</t>
  </si>
  <si>
    <t>3Bpl siets 100x100</t>
  </si>
  <si>
    <t>Pamatnes izveidošana zem pakāpieniem no betona B15, F50, b=0,3m</t>
  </si>
  <si>
    <t>6Bpl siets 100x100</t>
  </si>
  <si>
    <t>Sausā betona pākāpienu montāža 300×175(h)m l=4m</t>
  </si>
  <si>
    <t>kmpl.</t>
  </si>
  <si>
    <t>Nerūsējošā tērauda margu uzstādīšana h=0,9m, l=1,9m</t>
  </si>
  <si>
    <t>ķim dībeļi margu stirpināšanai Ø8×100</t>
  </si>
  <si>
    <t>Jaunu bruģakmens ierīkošana ieejas mezglos:</t>
  </si>
  <si>
    <t>Bruģakmens 60mm biez.likšana 26gab/m²</t>
  </si>
  <si>
    <t>Betons b15 c12/15, bortakmens iekliksānai</t>
  </si>
  <si>
    <t>Lodžiju un balkonu remontdarbi</t>
  </si>
  <si>
    <t>Esošo lodžiju koka konstrukcijas aizstiklojumu demontāža</t>
  </si>
  <si>
    <t>Esošo lodžiju priekšējās margas demontāža ieskaitor nostiprināšana konstrukciju</t>
  </si>
  <si>
    <t>Esošo balkonu priekšējās margas demontāža</t>
  </si>
  <si>
    <t>Lodžiju, balkonu bojāto plātņu remonts un atjaunošana</t>
  </si>
  <si>
    <t>Esošās cementa javas grīdas seguma remonts - izdrupumu un bojājumu aizpildīšana ar javu M100</t>
  </si>
  <si>
    <t>java M100</t>
  </si>
  <si>
    <t>Cementa javas M200 grīdas ierīkošana ar slīpumu, pievienojot hidroizolējošu cementa piedevu Sika-1  vai ekvivalents</t>
  </si>
  <si>
    <t>cementa java</t>
  </si>
  <si>
    <t>Betona aizsargkārtas nokalšana no plātnes apakšas</t>
  </si>
  <si>
    <t>Stiegru apstrāde ar suspensiju SikaTop- Armatec110EpoCem, SikaTop-610  vai ekvivalents</t>
  </si>
  <si>
    <t>CERESIT CD30 (25kg) patēriņš aptuveni 1,7 kg/m2</t>
  </si>
  <si>
    <t>Plātnes apakšas aizsargkārtas atjaunošana ar remontjavu SikaMonotop-612  vai ekvivalents  15mm biezumā</t>
  </si>
  <si>
    <t>CERESIT CD25 (25kg) patēriņš aptuveni 2,0 kg/m2/mm</t>
  </si>
  <si>
    <t>Plātnes apakšējās virsmas špaktelēšana pirms krāsošanas ar SikaMono Top-620  vai ekvivalents</t>
  </si>
  <si>
    <t>CERESIT CD24 (25kg) patēriņš aptuveni 1,5 kg/m2/mm</t>
  </si>
  <si>
    <t>Plātnes apakšējās virsmas krāsošana ar  krāsu Betonakrils uz Latakrils gruntējuma  vai ekvivalents</t>
  </si>
  <si>
    <t>Grīdas izolācija. AQUAFIN-2K uzklāšana trīs kārtās vai ekvivalents</t>
  </si>
  <si>
    <t>Hidroizolācija Ceresit CR166 vai ekvivalents</t>
  </si>
  <si>
    <t>Pieslēguma šuves hermetizēšana pie ārsienas ar Sikaflex-15LM  vai ekvivalents</t>
  </si>
  <si>
    <t>Redzamo balkona metāla konstrukciju krāsošana ar pretkorozijas krāsu</t>
  </si>
  <si>
    <t>Lodžiju apdares risinājums</t>
  </si>
  <si>
    <t>Apmetuma sistēma virs siltinājuma (AS-1 vai AS-2); siltinājums - SPU materiāls (Kooltherm K5 vai ekvivalents; λ=0,021 W/mK), b=30mm; līmjava; gruntējums; esoša betona paneļu siena, b=250mm</t>
  </si>
  <si>
    <t>(Kooltherm K5 vai ekvivalents; λ=0,021 W/mK)</t>
  </si>
  <si>
    <t>Līmjava Ceresit CT vai ekvivalents 190</t>
  </si>
  <si>
    <t>* PVC stūra detaļa, lodžiju kopējais garums katrā stāvā</t>
  </si>
  <si>
    <t>* pie lodžijas paneļa enkurota  detaļa -6x50x150, solis 500</t>
  </si>
  <si>
    <t>gb.</t>
  </si>
  <si>
    <t>* ķīļenkuri M10x80, 1 gb. uz detaļu, katrā stāvā</t>
  </si>
  <si>
    <t>* apšuvuma enkurdetaļa -4x40, l=370, solis 500, piemetināta</t>
  </si>
  <si>
    <t>* gludā skārda apšuvums (krāsu toni skat. AR), b=450* mm,katrā stāvā</t>
  </si>
  <si>
    <t>gludā skārda RAL tonī apšuvums 0,6mm</t>
  </si>
  <si>
    <t>LODŽIJU PANEĻU NOMAIŅA</t>
  </si>
  <si>
    <t>Lodžiju paneļi ar garumu L=3,05* m, H = 0,93</t>
  </si>
  <si>
    <t>ķīļenkuri Ø10, l=80, 2 gab uz detaļu</t>
  </si>
  <si>
    <t>kārbveida tērauda sijas 60x100(h)x5, l=3* m, ekviv. EN 10219, 1 gab uz lodžiju, 90 gb. Kop L=270m</t>
  </si>
  <si>
    <t>plakantērauda atbalstdetaļas -10x110x200(h), 2 gab uz siju. Kopā 180gb. Kop L=36m</t>
  </si>
  <si>
    <t>ķīļenkuri Ø12, l=125, 2 gab uz detaļu</t>
  </si>
  <si>
    <t>enkurdetaļa -6x50x150 pie paneļa sānu virsmas apšuvuma un aizpildījuma apakšas enkurošanai, s=500; 12 gab uz lodžiju. Kopā 1080gb</t>
  </si>
  <si>
    <t>ķīļenkuri M10, l=80, 1 gab uz detaļu</t>
  </si>
  <si>
    <t>metāla detaļu pretkorozijas krāsojums</t>
  </si>
  <si>
    <t>PVC stūra detaļa, l=3* m, 1 gab uz lodzīju</t>
  </si>
  <si>
    <t>gludā skārda apšuvums (krāsu toni skat. AR), b=450* mm, l=6* m</t>
  </si>
  <si>
    <t>Apkures sistēmas renovācija</t>
  </si>
  <si>
    <t>AVK</t>
  </si>
  <si>
    <t>Apkure. Koplietošanas cauruļvadi</t>
  </si>
  <si>
    <t>Esošās sistēmas demontāža</t>
  </si>
  <si>
    <t>k-ts</t>
  </si>
  <si>
    <t>Polipropilēna caurules Dn 80 montāža, stiprināšana pie sienas</t>
  </si>
  <si>
    <t>Polipropilēna caurules Dn 65 montāža, stiprināšana pie sienas</t>
  </si>
  <si>
    <t>Polipropilēna caurules Dn 50 montāža, stiprināšana pie sienas</t>
  </si>
  <si>
    <t>Polipropilēna caurules Dn 40 montāža, stiprināšana pie sienas</t>
  </si>
  <si>
    <t>Polipropilēna caurules Dn 32 montāža, stiprināšana pie sienas</t>
  </si>
  <si>
    <t>Polipropilēna caurules Dn 25 montāža, stiprināšana pie sienas</t>
  </si>
  <si>
    <t>Polipropilēna caurules Dn 20 montāža, stiprināšana pie sienas</t>
  </si>
  <si>
    <t>Polipropilēna caurules Dn 15 montāža, stiprināšana pie sienas</t>
  </si>
  <si>
    <t>Aizbīdnis; t=110 °C; P=8 bar; Dn80; uzstādīšana</t>
  </si>
  <si>
    <t>Ventilis lodveida; t=110 °C; P=8 bar; Dn50; uzstādīšana</t>
  </si>
  <si>
    <t>Ventilis lodveida; t=110 °C; P=8 bar; Dn15; uzstādīšana</t>
  </si>
  <si>
    <t>Automātiskais balansējošais vārsts ASV - I,  Dn40; t=110°C; P=8 bar firmas "Danfoss" vai ekvivalents, ar pārejām, uzstādīšana, ieregulēšana</t>
  </si>
  <si>
    <t>Automātiskais balansējošais vārsts ASV - PV Dn40; t=110°C; P=8 bar firmas "Danfoss" vai ekvivalents, uzstādīšana, ieregulēšana</t>
  </si>
  <si>
    <t>Polipropilēna cauruļvadu diametru maiņa Dn80→Dn65, montāža</t>
  </si>
  <si>
    <t>Polipropilēna cauruļvadu diametru maiņa Dn65→Dn50, montāža</t>
  </si>
  <si>
    <t>Polipropilēna cauruļvadu diametru maiņa Dn50→Dn40, montāža</t>
  </si>
  <si>
    <t>Polipropilēna cauruļvadu diametru maiņa Dn40→Dn32, montāža</t>
  </si>
  <si>
    <t>Polipropilēna cauruļvadu diametru maiņa Dn32→Dn25, montāža</t>
  </si>
  <si>
    <t>Polipropilēna cauruļvadu diametru maiņa Dn25→Dn20, montāža</t>
  </si>
  <si>
    <t>Polipropilēna cauruļvadu diametru maiņa Dn20→Dn15, montāža</t>
  </si>
  <si>
    <t>Polipropilēna cauruļvadu trejgabali Dn15, montāža</t>
  </si>
  <si>
    <t>Polipropilēna cauruļvadu trejgabali Dn20, montāža</t>
  </si>
  <si>
    <t>Polipropilēna cauruļvadu trejgabali Dn25, montāža</t>
  </si>
  <si>
    <t>Polipropilēna cauruļvadu trejgabali Dn32, montāža</t>
  </si>
  <si>
    <t>Polipropilēna cauruļvadu trejgabals, redukcija Dn20/Dn15/Dn20, montāža</t>
  </si>
  <si>
    <t>Polipropilēna cauruļvadu trejgabals, redukcija Dn40/Dn15/Dn40, montāža</t>
  </si>
  <si>
    <t>Polipropilēna cauruļvadu trejgabals, redukcija Dn32/Dn15/Dn32, montāža</t>
  </si>
  <si>
    <t>Polipropilēna cauruļvadu trejgabals, redukcija Dn25/Dn15/Dn25, montāža</t>
  </si>
  <si>
    <t>Polipropilēna cauruļvadu krust savienojums Dn 32, montāža</t>
  </si>
  <si>
    <t>Polipropilēna cauruļvadu krust savienojums Dn 25, montāža</t>
  </si>
  <si>
    <t>Polipropilēna cauruļvadu krust savienojums Dn 20, montāža</t>
  </si>
  <si>
    <t>Polipropilēna cauruļvadu Dn32 pagrieziens 90°, montāža</t>
  </si>
  <si>
    <t>Polipropilēna cauruļvadu Dn15 pagrieziens 90°, montāža</t>
  </si>
  <si>
    <t>Polipropilēna cauruļvadu Dn40 pagrieziens 90°, montāža</t>
  </si>
  <si>
    <t>Polipropilēna cauruļvadu Dn80 pagrieziens 90°, montāža</t>
  </si>
  <si>
    <t>Polipropilēna cauruļvadu Dn65 pagrieziens 90°, montāža</t>
  </si>
  <si>
    <t>Polipropilēna cauruļvadu Dn50 pagrieziens 90°, montāža</t>
  </si>
  <si>
    <t>Atgaisotājs automātisks, t=110°C, P=8 bar, uzstādīšana</t>
  </si>
  <si>
    <t>Cauruļvada Dn50 termokompensācijas balsts, izbūve caur sienu/ griestiem, hermetizācija, apmetuma un krāsojuma atjaunošana</t>
  </si>
  <si>
    <t>Cauruļvada Dn40 termokompensācijas balsts, izbūve caur sienu/ griestiem, hermetizācija, apmetuma un krāsojuma atjaunošana</t>
  </si>
  <si>
    <t>Cauruļvada Dn32 termokompensācijas balsts, izbūve caur sienu/ griestiem, hermetizācija, apmetuma un krāsojuma atjaunošana</t>
  </si>
  <si>
    <t>Cauruļvada Dn25 termokompensācijas balsts, izbūve caur sienu/ griestiem, hermetizācija, apmetuma un krāsojuma atjaunošana</t>
  </si>
  <si>
    <t>Cauruļvada Dn20 termokompensācijas balsts, izbūve caur sienu/ griestiem, hermetizācija, apmetuma un krāsojuma atjaunošana</t>
  </si>
  <si>
    <t>Cauruļvada Dn15 termokompensācijas balsts, izbūve caur sienu/ griestiem, hermetizācija, apmetuma un krāsojuma atjaunošana</t>
  </si>
  <si>
    <t>Cauruļvada Dn50 siltumizolācijas čaula, b=&gt;50 mm,l=0.040 W/K×m², caurules siltumizolēšana</t>
  </si>
  <si>
    <t>Cauruļvada Dn40 siltumizolācijas čaula, b=&gt;30 mm,l=0.040 W/K×m², caurules siltumizolēšana</t>
  </si>
  <si>
    <t>Cauruļvada Dn32 siltumizolācijas čaula, b=&gt;30 mm,l=0.040 W/K×m², caurules siltumizolēšana</t>
  </si>
  <si>
    <t>Cauruļvada Dn65 siltumizolācijas čaula, b=&gt;50 mm,l=0.040 W/K×m², caurules siltumizolēšana</t>
  </si>
  <si>
    <t>Cauruļvada Dn80 siltumizolācijas čaula, b=&gt;50 mm,l=0.040 W/K×m², caurules siltumizolēšana</t>
  </si>
  <si>
    <t>Cauruļvada Dn25 siltumizolācijas čaula, b=&gt;30 mm,l=0.040 W/K×m², caurules siltumizolēšana</t>
  </si>
  <si>
    <t>Cauruļvada Dn20 siltumizolācijas čaula, b=&gt;30 mm,l=0.040 W/K×m², caurules siltumizolēšana</t>
  </si>
  <si>
    <t>Cauruļvada Dn15 siltumizolācijas čaula, b=&gt;30 mm,l=0.040 W/K×m², caurules siltumizolēšana</t>
  </si>
  <si>
    <t>Tērauda radiatori firmas "Purmo" PCV 11 vai ekvivalents; h= 400 mm N=355W; l=600; t 70/50/16°C; komplektā ar atgaisotāju, termovārstu un uzstādīšanas mezglu</t>
  </si>
  <si>
    <t>Tērauda radiatori firmas "Purmo" PCV 22 vai ekvivalents; h= 400 mm N=1704W; l=1400; t 70/50/16°C; komplektā ar atgaisotāju, termovārstu un uzstādīšanas mezglu</t>
  </si>
  <si>
    <t>Termoregulatora galva (vārsts) firmas "Danfoss" RA vai ekvivalents ar termostatisko sensoru, t-120 °C, P- 10 bar, DP- 0.6 bar, uzstādīšana</t>
  </si>
  <si>
    <t>Sildķermeņa pievienojuma krāns firmas Danfoss vai ekvivalents, RLV KD komplektā ar tukšošanas krānu  t=110°C; P=8 bar; Dn15</t>
  </si>
  <si>
    <t>Metāla konstrukcijas cauruļvadu un iekārtu stiprināšanai</t>
  </si>
  <si>
    <t>Cauruļvadu un pievienojumu fasondetaļas un veidgabali</t>
  </si>
  <si>
    <t>Palīgmateriāli cauruļvadu savienošanai</t>
  </si>
  <si>
    <t>Metāla konstrukciju gruntēšana ar grunts krāsu 
GF-020 un krāsošana ar eļļas krāsu</t>
  </si>
  <si>
    <t>Apkures sistēmas ieregulēšana, pārbaude un nodošana ekspluatācijā</t>
  </si>
  <si>
    <t>Ventilācijas sistēma</t>
  </si>
  <si>
    <t>Esošo ventilācijas kanālu (skursteņu, cuku) apskate, tīrīšana</t>
  </si>
  <si>
    <t>Vēdināšanas komplekts ALD 10 T firma Maico vai analogs, montāža ārsienā</t>
  </si>
  <si>
    <t>Esošo gaisa nosūces restīšu 250*×150* demontāža (virtuvēs un tualetēs)</t>
  </si>
  <si>
    <t>Gaisa nosūces restītes 250*×150*</t>
  </si>
  <si>
    <t>Dzīvokļu siltuma uzskaites mezgls (pavisam 99 dzīvokļi)</t>
  </si>
  <si>
    <t>Ultraskaņas siltuma skaitītājs "Danfoss" SONOMETR 1100 (vai analogs) ar iebūvētu distancētas "Hydro-radio" datu nolasīšanas sistēmu (frekvence 868 Mhz), Tmax105°C, Pmax 10 bar; Qnom=0,6m³/st, min. ūdens caurplūde (Qmin) H / V = 6/12 l/st; max. ūdens caurplūde Qmax=1200 l/st; ūdens t° diapazons: 1÷90°C</t>
  </si>
  <si>
    <t>Balansējošais vārsts ASV-M; firmas "Danfoss" vai ekvivalents Dn15 uzstādīšana, ieregulēšana</t>
  </si>
  <si>
    <t>Balansējošais vārsts ASV-P; firmas "Danfoss" vai ekvivalents Dn15 uzstādīšana, ieregulēšana</t>
  </si>
  <si>
    <t>Ventilis lodveida; t=110°C; P=8 bar; Dn15</t>
  </si>
  <si>
    <t>Netīrumu savācējs; t=110°C; P=8 bar; Dn15</t>
  </si>
  <si>
    <t>Cauruļvadu un metāla konstrukciju gruntēšana ar grunts krāsu GF-020 un krāsošana ar eļļas krāsu</t>
  </si>
  <si>
    <t>Trīsistabu dzīvoklim Nr. 1; 5; 9; 13; 17; 21; 25; 29; 33</t>
  </si>
  <si>
    <t>Pavisam 9šādi dzīvokļi</t>
  </si>
  <si>
    <t>Tērauda radiatori firmas "Purmo" PCV 22 vai ekvivalents; h= 400 mm; N=307W; l=400; t 70/50/24°C;komplektā ar atgaisotāju, termovārstu un uzstādīšanas mezglu</t>
  </si>
  <si>
    <t>Tērauda radiatori firmas "Purmo" PCV 22 vai ekvivalents; h= 400 mm; N=461W; l=600; t 70/50/24°C; komplektā ar atgaisotāju, termovārstu un uzstādīšanas mezglu</t>
  </si>
  <si>
    <t>Tērauda radiatori firmas "Purmo" PCV 22 vai ekvivalents; h= 400 mm; N=614W; l=800; t 70/50/24°C; komplektā ar atgaisotāju, termovārstu un uzstādīšanas mezglu</t>
  </si>
  <si>
    <t>Termoregulatora galva (vārsts) firmas "Danfoss" vai ekvivalents RA ar termostatisko sensoru, t=120°C, P=10 bar,DP=0.6 bar, uzstādīšana</t>
  </si>
  <si>
    <t>Sildķermeņa pievienojuma krāns firmas Danfoss vai ekvivalents, RLV komplektā ar tukšošanas krānu  t=110°C; P=8 bar; Dn15</t>
  </si>
  <si>
    <t>Vara caurule apkurei, Dn15, montāža, stiprināšana pie sienas vai grīdlīstē</t>
  </si>
  <si>
    <t>Vara caurules pagrieziens 90°, Dn15, montāža</t>
  </si>
  <si>
    <t>Vara caurules trejgabals Dn15, montāža</t>
  </si>
  <si>
    <t>Ventilis lodveida; t=110°C; P=8 bar; Dn15; uzstādīšana</t>
  </si>
  <si>
    <t>Cauruļvada Dn15 siltumizolācijas čaula, b=&gt;30 mm, l=0.040 W/Kxm2 caurules siltumizolēšana</t>
  </si>
  <si>
    <t>Cauruļvada Dn15 termokompensējošs balsts, izbūve caur sienu, hermetizācija, apmetuma un krāsojuma atjaunošana</t>
  </si>
  <si>
    <t>Dažādi palīgmateriāli montāžai</t>
  </si>
  <si>
    <t>Vienistabas dzīvoklim Nr. 2; 6; 10; 14; 18; 22; 26; 30; 34; 39; 43; 47; 51; 55; 59; 63; 67; 71</t>
  </si>
  <si>
    <t>Pavisam 18šādi dzīvokļi</t>
  </si>
  <si>
    <t>Tērauda radiatori firmas "Purmo" PCV 22 vai ekvivalents; h= 400 mm; N=307W; l=400; t 70/50/24°C; komplektā ar atgaisotāju, termovārstu un uzstādīšanas mezglu</t>
  </si>
  <si>
    <t>Divistabu dzīvoklim Nr. 3; 7; 11; 15; 19; 23; 27; 31; 35; 38; 42; 46; 50; 54; 58; 62; 66; 70</t>
  </si>
  <si>
    <t>Trīsistabu dzīvoklim Nr. 4; 8; 12; 16; 20; 24; 28; 32; 36; 37; 41; 45; 49; 53; 57; 61; 65; 69; 40; 44; 48; 52; 56; 60; 64; 68; 72</t>
  </si>
  <si>
    <t>Pavisam 27šādi dzīvokļi</t>
  </si>
  <si>
    <t>Tērauda radiatori firmas "Purmo" PCV 22 vai ekvivalents; h= 400 mm; N=384W; l=500; t 70/50/24°C; komplektā ar atgaisotāju, termovārstu un uzstādīšanas mezglu</t>
  </si>
  <si>
    <t>Divistabu dzīvoklim Nr. 73; 76; 79; 82; 85; 88; 91; 94; 97</t>
  </si>
  <si>
    <t>Pavisam 9šādi dzīvokļi</t>
  </si>
  <si>
    <t>Termoregulatora galva (vārsts) firmas "Danfoss"  vai ekvivalentsRA ar termostatisko sensoru, t=120°C, P=10 bar,DP=0.6 bar, uzstādīšana</t>
  </si>
  <si>
    <t>Divistabu dzīvoklim Nr. 74</t>
  </si>
  <si>
    <t>Pavisam 1šāds dzīvoklis</t>
  </si>
  <si>
    <t>Divistabu dzīvoklim Nr. 77; 80; 83; 86; 89; 92; 95; 98</t>
  </si>
  <si>
    <t>Pavisam 8šāds dzīvokļi</t>
  </si>
  <si>
    <t>Tērauda radiatori firmas "Purmo" PCV 22 vai ekvivalents; h= 400 mm; N=768W; l=1000; t 70/50/24°C; komplektā ar atgaisotāju, termovārstu un uzstādīšanas mezglu</t>
  </si>
  <si>
    <t>Divistabu dzīvoklim Nr. 78; 81; 84; 87; 90; 93; 96; 99</t>
  </si>
  <si>
    <t>Pavisam 8šādi dzīvokļi</t>
  </si>
  <si>
    <t>Vienistabas dzīvoklim Nr. 75</t>
  </si>
  <si>
    <t>Pavisam 1šāds dzīvoklis</t>
  </si>
  <si>
    <t>Tērauda radiatori firmas "Purmo" PCV 22 vai ekvivalents; h= 400 mm; N=307W; l=400; t70/50/24°C; komplektā ar atgaisotāju, termovārstu un uzstādīšanas mezglu</t>
  </si>
  <si>
    <t>Kopā par  p. 1 ÷ :</t>
  </si>
  <si>
    <t>Transporta izdevumi no mehānismu izdevumiem:</t>
  </si>
  <si>
    <t>Zibens aizsardzības sistēmas izbūve</t>
  </si>
  <si>
    <t>ELT</t>
  </si>
  <si>
    <t>Zibensaizsardzība</t>
  </si>
  <si>
    <t>Pasīvs, izolēts zibens uztvērējs Al, l-2000 mm, ø 16 mm, firmas ELKO-BIS 94302009, vai ekvivalents, montāža, uzstādīšana</t>
  </si>
  <si>
    <t>Zibens uztvērēja pamatne, 250×200×4 mm, stiprināma ar skrūvēm 4×ø11 mm, ELKO-BIS 94301402, vai ekvivalents, montāža, uzstādīšana</t>
  </si>
  <si>
    <t>Kronšteins zibens uztvērēja masta korekcijai, M 16, ELKO-BIS 96540001, vai ekvivalents, montāža, uzstādīšana</t>
  </si>
  <si>
    <t>Stieple Al, ø 8 mm, firmas ELKO-BIS 80000803, vai ekvivalenta, montāžai pa jumtu.</t>
  </si>
  <si>
    <t>Stieple alumīnija ø 10 mm, DR 10 ELKO-BIS 80001009,  ekvivalenta, montāžai pa vertikālajām caurulēm</t>
  </si>
  <si>
    <t>Lenta karsti cinkota tērauda, 30×3,5 mm, firmas ELKO-BIS 83003505, vai ekvivalenta, montāža tranšejā</t>
  </si>
  <si>
    <t>PVC caurule zibens  novadītāju mantāžai zem siltinājuma slāņa, l -3000 mm, ø 12 mm, ELKO-BIS 10400308, vai ekvivalenta, montāžai pa vertikālajām caurulēm</t>
  </si>
  <si>
    <t>Savienojums universāls, firmas ELKO-BIS 90700101, montāža</t>
  </si>
  <si>
    <t>Kontūra mērklemmes kaste, ELKO-BIS 96801108, stiprināna siltumizolācijā</t>
  </si>
  <si>
    <t>Kontūra mērklemme, ELKO-BIS 90600101, montāža mērklemmes kastē</t>
  </si>
  <si>
    <t>Zemējuma ievads, tērauda cinkots, ø 10 mm, l- 5,5 m, ELKO-BIS 80001002, montāža</t>
  </si>
  <si>
    <t>Kronšteins stieples montāžai uz jumta, ELKO-BIS 96300101, vai ekvivalents</t>
  </si>
  <si>
    <t>Kronšteins caurules montāžai uz sijas (sienas), ELKO-BIS 96000505, vai ekvivalents, montāža</t>
  </si>
  <si>
    <t>Zemēšanas elektrods ø 20 mm, l-1,5 m, apaļdzelzs, ELKO-BIS 94211101</t>
  </si>
  <si>
    <t>Elektrodu uzmava, ELKO-BIS 94211401</t>
  </si>
  <si>
    <t>Elektrodu spice, ELKO-BIS 94211501</t>
  </si>
  <si>
    <t>Elektrodu pievienojuma klemme ar vītni, ELKO-BIS 94211201</t>
  </si>
  <si>
    <t>Pretkorozijas mastika, ELKO-BIS 99500199</t>
  </si>
  <si>
    <t>iepakoj.</t>
  </si>
  <si>
    <t>PE lenta iezīmēšanai</t>
  </si>
  <si>
    <t>Palīgmateriāli</t>
  </si>
  <si>
    <t>Tranšejas rakšana un aizbēršana zemējuma kontūram</t>
  </si>
  <si>
    <t>Elektrodu ø 20 mm, l= 1,5 m iedzīšana zemē</t>
  </si>
  <si>
    <t>Zemējuma kontūra ierīkošana, mērījumi</t>
  </si>
  <si>
    <t>Grunts blietēšana, virskārtas atjaunošana</t>
  </si>
  <si>
    <t>Sistēmas montāža, palaišana</t>
  </si>
  <si>
    <t>Sistēmas nodošana ekspluatācijā</t>
  </si>
  <si>
    <t>Gāzes apgādes sistēmas atjaunošana</t>
  </si>
  <si>
    <t>Tāme sastādīta 2019.gada tirgus cenās, pamatojoties uz:</t>
  </si>
  <si>
    <t>GA</t>
  </si>
  <si>
    <t>Gāzesvada pievads</t>
  </si>
  <si>
    <t>Esosošo gāzes ievadu demontāža</t>
  </si>
  <si>
    <t>Dn50</t>
  </si>
  <si>
    <t>Termosarūkošā materiāla uzmava l=700mm;  caurulei</t>
  </si>
  <si>
    <t>Uzmavu krāns gāzei PN1 bar (gali piemetināmi)</t>
  </si>
  <si>
    <t>Izolējošais izjaucams, savienojums Pn10</t>
  </si>
  <si>
    <t>Atloku savienojumssavienojums Pn10</t>
  </si>
  <si>
    <t>Tērauda ievadlīkums PN16, EN10208-1</t>
  </si>
  <si>
    <t>ar trīskāršo PE pretkarozijas pārklājumu EN10285</t>
  </si>
  <si>
    <t>kompl.</t>
  </si>
  <si>
    <t>Ø60,3×3.6</t>
  </si>
  <si>
    <t>Tērauda caurule ar polimēra izolāciju EN10285</t>
  </si>
  <si>
    <t>Tērauda caurules ar polimēra izolāciju līkums 3D-90° EN10253-1</t>
  </si>
  <si>
    <t>Dn50&gt;Dn40</t>
  </si>
  <si>
    <t>Tērauda caurules pāreja   Pn=4 bar; 
LVS EN 10208-2</t>
  </si>
  <si>
    <t>Dn40</t>
  </si>
  <si>
    <t>Tērauda caurule gar ēkas fasādi;   Pn=4 bar; 
LVS EN 10208-2</t>
  </si>
  <si>
    <t>Dn40 līkumi 90o</t>
  </si>
  <si>
    <t>PE aizsargčaula Dn100 ar polipropilēnu un silikonu uz izvada no zemes pie ievada ēkā.</t>
  </si>
  <si>
    <t>Tērauda caurules antikorozijas apstrāde un krāsošana ar eļļas krāsu</t>
  </si>
  <si>
    <t>Indikācijas kabeļu savienojuma nozaruzmava</t>
  </si>
  <si>
    <t>Signālvads S=2×2,5 mm², ar vara dzīslām un izolāciju 
(Ar izvadu)</t>
  </si>
  <si>
    <t>Mitruma izturīga līmlenta signālkabeļa stiprināšanai</t>
  </si>
  <si>
    <t>Marķējuma lenta ar uzrakstu "Gāze"</t>
  </si>
  <si>
    <t>Smilšu seguma pabērums zem un virs gāzes vada B=100 mm</t>
  </si>
  <si>
    <t>Caurumu Ø15÷20mm izurbšana citu komunikāciju  aku vākos</t>
  </si>
  <si>
    <t>vietas</t>
  </si>
  <si>
    <t>Gāzes vadu un iekārtu sazemēšana pēc RD34.12.122-87</t>
  </si>
  <si>
    <t>kompl</t>
  </si>
  <si>
    <t>Metināto šuvju pārbaude 100%</t>
  </si>
  <si>
    <t>Metināto šuvju izolācija</t>
  </si>
  <si>
    <t>Zālāja atjaunošanas</t>
  </si>
  <si>
    <t>Gāzes vada digitālā uzmērīšana un nodošana ekspluatācijā</t>
  </si>
  <si>
    <t>Tērauda aizsargcaurule Dn80, l=0,5m</t>
  </si>
  <si>
    <t>Īscaurule Dn15 ar noslēgtapu kontrolmonometra pielēgšanai (uz gāzes vada Dn50)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</si>
</sst>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_-;_-@_-"/>
    <numFmt numFmtId="165" formatCode="_-* #,##0.00\ _L_s_-;\-* #,##0.00\ _L_s_-;_-* \-??\ _L_s_-;_-@_-"/>
    <numFmt numFmtId="166" formatCode="0.0"/>
    <numFmt numFmtId="167" formatCode="_-* #,##0.00_-;\-* #,##0.00_-;_-* \-_-;_-@_-"/>
    <numFmt numFmtId="168" formatCode="0.000"/>
    <numFmt numFmtId="169" formatCode="_(* #,##0.00_);_(* \(#,##0.00\);_(* \-??_);_(@_)"/>
  </numFmts>
  <fonts count="22" x14ac:knownFonts="1">
    <font>
      <sz val="11"/>
      <color rgb="FF000000"/>
      <name val="Calibri"/>
      <family val="2"/>
      <charset val="186"/>
    </font>
    <font>
      <b/>
      <sz val="8"/>
      <name val="Arial"/>
      <family val="2"/>
      <charset val="186"/>
    </font>
    <font>
      <sz val="8"/>
      <name val="Arial"/>
      <family val="2"/>
      <charset val="186"/>
    </font>
    <font>
      <sz val="11"/>
      <name val="Calibri"/>
      <family val="2"/>
      <charset val="186"/>
    </font>
    <font>
      <i/>
      <sz val="8"/>
      <name val="Arial"/>
      <family val="2"/>
      <charset val="186"/>
    </font>
    <font>
      <sz val="6"/>
      <name val="Arial"/>
      <family val="2"/>
      <charset val="186"/>
    </font>
    <font>
      <sz val="7"/>
      <name val="Arial"/>
      <family val="2"/>
      <charset val="186"/>
    </font>
    <font>
      <sz val="8"/>
      <color rgb="FF000000"/>
      <name val="Arial"/>
      <family val="2"/>
      <charset val="186"/>
    </font>
    <font>
      <b/>
      <sz val="8"/>
      <color rgb="FF000000"/>
      <name val="Arial"/>
      <family val="2"/>
      <charset val="186"/>
    </font>
    <font>
      <sz val="8"/>
      <color rgb="FFFF0000"/>
      <name val="Arial"/>
      <family val="2"/>
      <charset val="186"/>
    </font>
    <font>
      <sz val="8"/>
      <color rgb="FF009900"/>
      <name val="Arial"/>
      <family val="2"/>
      <charset val="186"/>
    </font>
    <font>
      <b/>
      <sz val="8"/>
      <color rgb="FF009900"/>
      <name val="Arial"/>
      <family val="2"/>
      <charset val="186"/>
    </font>
    <font>
      <b/>
      <sz val="8"/>
      <color rgb="FFFF0000"/>
      <name val="Arial"/>
      <family val="2"/>
      <charset val="186"/>
    </font>
    <font>
      <vertAlign val="superscript"/>
      <sz val="8"/>
      <color rgb="FF000000"/>
      <name val="Arial"/>
      <family val="2"/>
      <charset val="186"/>
    </font>
    <font>
      <b/>
      <sz val="11"/>
      <color rgb="FFFF0000"/>
      <name val="Calibri"/>
      <family val="2"/>
      <charset val="186"/>
    </font>
    <font>
      <sz val="10"/>
      <name val="Arial"/>
      <family val="2"/>
      <charset val="186"/>
    </font>
    <font>
      <u/>
      <sz val="8"/>
      <name val="Arial"/>
      <family val="2"/>
      <charset val="186"/>
    </font>
    <font>
      <sz val="8"/>
      <name val="Calibri"/>
      <family val="2"/>
      <charset val="186"/>
    </font>
    <font>
      <i/>
      <sz val="8"/>
      <color rgb="FF808080"/>
      <name val="Arial"/>
      <family val="2"/>
      <charset val="186"/>
    </font>
    <font>
      <i/>
      <sz val="11"/>
      <color rgb="FF000000"/>
      <name val="Calibri"/>
      <family val="2"/>
      <charset val="186"/>
    </font>
    <font>
      <b/>
      <i/>
      <sz val="8"/>
      <name val="Arial"/>
      <family val="2"/>
      <charset val="186"/>
    </font>
    <font>
      <vertAlign val="superscript"/>
      <sz val="10"/>
      <name val="Arial"/>
      <family val="2"/>
      <charset val="186"/>
    </font>
  </fonts>
  <fills count="4">
    <fill>
      <patternFill patternType="none"/>
    </fill>
    <fill>
      <patternFill patternType="gray125"/>
    </fill>
    <fill>
      <patternFill patternType="solid">
        <fgColor rgb="FFFFFFCC"/>
        <bgColor rgb="FFFFFFFF"/>
      </patternFill>
    </fill>
    <fill>
      <patternFill patternType="solid">
        <fgColor rgb="FFFFFF00"/>
        <bgColor rgb="FFFFFF00"/>
      </patternFill>
    </fill>
  </fills>
  <borders count="35">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auto="1"/>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hair">
        <color auto="1"/>
      </left>
      <right style="hair">
        <color auto="1"/>
      </right>
      <top style="hair">
        <color auto="1"/>
      </top>
      <bottom style="hair">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164" fontId="15" fillId="0" borderId="0" applyBorder="0" applyProtection="0"/>
    <xf numFmtId="0" fontId="18" fillId="0" borderId="0" applyBorder="0" applyProtection="0"/>
  </cellStyleXfs>
  <cellXfs count="305">
    <xf numFmtId="0" fontId="0" fillId="0" borderId="0" xfId="0"/>
    <xf numFmtId="0" fontId="7" fillId="0" borderId="1" xfId="0" applyFont="1" applyBorder="1" applyAlignment="1">
      <alignment horizontal="center" vertical="center"/>
    </xf>
    <xf numFmtId="0" fontId="7" fillId="0" borderId="19" xfId="0" applyFont="1" applyBorder="1" applyAlignment="1">
      <alignment horizontal="right" vertical="center"/>
    </xf>
    <xf numFmtId="0" fontId="8" fillId="0" borderId="18" xfId="0" applyFont="1" applyBorder="1" applyAlignment="1">
      <alignment horizontal="center" vertical="center"/>
    </xf>
    <xf numFmtId="0" fontId="7" fillId="0" borderId="17"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2" xfId="0" applyFont="1" applyBorder="1" applyAlignment="1">
      <alignment horizontal="right" vertical="center"/>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xf>
    <xf numFmtId="0" fontId="2"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7" fillId="0" borderId="1" xfId="0" applyFont="1" applyBorder="1" applyAlignment="1">
      <alignment horizontal="center" vertical="center" wrapText="1"/>
    </xf>
    <xf numFmtId="0" fontId="0" fillId="0" borderId="0" xfId="0" applyFont="1" applyAlignment="1"/>
    <xf numFmtId="0" fontId="0" fillId="0" borderId="0" xfId="0" applyFont="1" applyAlignment="1">
      <alignment horizontal="center"/>
    </xf>
    <xf numFmtId="0" fontId="1" fillId="0" borderId="0" xfId="0" applyFont="1" applyBorder="1" applyAlignment="1">
      <alignment horizontal="right" vertical="center"/>
    </xf>
    <xf numFmtId="0" fontId="2" fillId="0" borderId="0" xfId="0" applyFont="1" applyBorder="1" applyAlignment="1">
      <alignment horizontal="righ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wrapText="1"/>
    </xf>
    <xf numFmtId="0" fontId="3" fillId="0" borderId="0" xfId="0" applyFont="1"/>
    <xf numFmtId="0" fontId="1" fillId="0" borderId="0" xfId="0" applyFont="1" applyAlignment="1">
      <alignment vertical="center"/>
    </xf>
    <xf numFmtId="0" fontId="2" fillId="0" borderId="0" xfId="0" applyFont="1" applyAlignment="1">
      <alignment vertical="center"/>
    </xf>
    <xf numFmtId="2" fontId="1" fillId="0" borderId="0" xfId="0" applyNumberFormat="1" applyFont="1" applyAlignment="1">
      <alignment vertical="center"/>
    </xf>
    <xf numFmtId="0" fontId="2" fillId="0" borderId="0" xfId="0" applyFont="1" applyBorder="1" applyAlignment="1">
      <alignment horizontal="left" vertical="center" textRotation="90"/>
    </xf>
    <xf numFmtId="0" fontId="2" fillId="0" borderId="0" xfId="0" applyFont="1" applyBorder="1" applyAlignment="1">
      <alignment vertical="center" textRotation="90"/>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164" fontId="2" fillId="0" borderId="1" xfId="0" applyNumberFormat="1" applyFont="1" applyBorder="1" applyAlignment="1" applyProtection="1">
      <alignment horizontal="center" vertical="center"/>
    </xf>
    <xf numFmtId="0" fontId="2" fillId="0" borderId="1"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4"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wrapText="1"/>
    </xf>
    <xf numFmtId="164" fontId="1" fillId="0" borderId="0" xfId="0" applyNumberFormat="1" applyFont="1" applyBorder="1" applyAlignment="1" applyProtection="1">
      <alignment horizontal="right" vertical="center" wrapText="1"/>
    </xf>
    <xf numFmtId="0" fontId="2" fillId="0" borderId="0" xfId="0" applyFont="1" applyBorder="1" applyAlignment="1" applyProtection="1">
      <alignment vertical="center"/>
    </xf>
    <xf numFmtId="0" fontId="2" fillId="0" borderId="0" xfId="0" applyFont="1" applyAlignment="1">
      <alignment horizontal="right" vertical="center"/>
    </xf>
    <xf numFmtId="9" fontId="1" fillId="0" borderId="0" xfId="0" applyNumberFormat="1" applyFont="1" applyAlignment="1">
      <alignment horizontal="center" vertical="center"/>
    </xf>
    <xf numFmtId="164" fontId="2" fillId="0" borderId="0" xfId="0" applyNumberFormat="1" applyFont="1" applyBorder="1" applyAlignment="1" applyProtection="1">
      <alignment vertical="center"/>
    </xf>
    <xf numFmtId="10" fontId="2" fillId="0" borderId="0" xfId="0" applyNumberFormat="1" applyFont="1" applyAlignment="1">
      <alignment horizontal="center" vertical="center"/>
    </xf>
    <xf numFmtId="164" fontId="1" fillId="0" borderId="0" xfId="0" applyNumberFormat="1" applyFont="1" applyBorder="1" applyAlignment="1" applyProtection="1">
      <alignment vertical="center"/>
    </xf>
    <xf numFmtId="0" fontId="2" fillId="0" borderId="0" xfId="0" applyFont="1" applyAlignment="1">
      <alignment horizontal="right" vertical="center" wrapText="1"/>
    </xf>
    <xf numFmtId="9" fontId="2" fillId="0" borderId="0" xfId="0" applyNumberFormat="1" applyFont="1" applyAlignment="1">
      <alignment horizontal="center" vertical="center" wrapText="1"/>
    </xf>
    <xf numFmtId="165" fontId="1" fillId="0" borderId="0" xfId="0" applyNumberFormat="1" applyFont="1" applyBorder="1" applyAlignment="1" applyProtection="1">
      <alignment vertical="center" wrapText="1"/>
    </xf>
    <xf numFmtId="0" fontId="2" fillId="0" borderId="0" xfId="0" applyFont="1" applyBorder="1" applyAlignment="1" applyProtection="1">
      <alignment horizontal="left" vertical="center"/>
    </xf>
    <xf numFmtId="0" fontId="2" fillId="0" borderId="0" xfId="0" applyFont="1" applyAlignment="1">
      <alignment vertical="center" wrapText="1"/>
    </xf>
    <xf numFmtId="0" fontId="2" fillId="0" borderId="0" xfId="0" applyFont="1" applyBorder="1" applyAlignment="1" applyProtection="1">
      <alignment horizontal="right" vertical="center"/>
    </xf>
    <xf numFmtId="0" fontId="1" fillId="0" borderId="0" xfId="0" applyFont="1" applyAlignment="1">
      <alignment horizontal="right" vertical="center"/>
    </xf>
    <xf numFmtId="0" fontId="2" fillId="0" borderId="0" xfId="0" applyFont="1" applyBorder="1" applyAlignment="1" applyProtection="1">
      <alignment horizontal="right" vertical="center" wrapText="1"/>
    </xf>
    <xf numFmtId="0" fontId="0" fillId="0" borderId="0" xfId="0" applyFont="1" applyAlignment="1">
      <alignment wrapText="1"/>
    </xf>
    <xf numFmtId="0" fontId="0" fillId="0" borderId="0" xfId="0" applyFont="1" applyBorder="1" applyAlignment="1"/>
    <xf numFmtId="0" fontId="0" fillId="0" borderId="0" xfId="0" applyFont="1"/>
    <xf numFmtId="1" fontId="1" fillId="0" borderId="0" xfId="0" applyNumberFormat="1" applyFont="1" applyBorder="1" applyAlignment="1">
      <alignment horizontal="right" vertical="center"/>
    </xf>
    <xf numFmtId="1" fontId="1" fillId="0" borderId="0" xfId="0" applyNumberFormat="1" applyFont="1" applyBorder="1" applyAlignment="1">
      <alignment horizontal="left" vertical="center"/>
    </xf>
    <xf numFmtId="0" fontId="2" fillId="0" borderId="0" xfId="0" applyFont="1" applyBorder="1" applyAlignment="1" applyProtection="1">
      <alignment horizontal="right" vertical="center"/>
      <protection locked="0"/>
    </xf>
    <xf numFmtId="0" fontId="1" fillId="0" borderId="0" xfId="0" applyFont="1" applyBorder="1" applyAlignment="1">
      <alignment horizontal="center" vertical="center"/>
    </xf>
    <xf numFmtId="0" fontId="2" fillId="0" borderId="0" xfId="0" applyFont="1" applyBorder="1" applyAlignment="1" applyProtection="1">
      <alignment vertical="center"/>
      <protection locked="0"/>
    </xf>
    <xf numFmtId="2" fontId="1" fillId="0" borderId="3" xfId="0" applyNumberFormat="1" applyFont="1" applyBorder="1" applyAlignment="1">
      <alignment horizontal="center" vertical="center"/>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2" fillId="0" borderId="4" xfId="0" applyFont="1" applyBorder="1" applyAlignment="1">
      <alignment horizontal="center" vertical="center"/>
    </xf>
    <xf numFmtId="1" fontId="2" fillId="0" borderId="4"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2" fillId="0" borderId="1" xfId="0" applyNumberFormat="1" applyFont="1" applyBorder="1" applyAlignment="1" applyProtection="1">
      <alignment horizontal="center" vertical="center" wrapText="1"/>
    </xf>
    <xf numFmtId="166"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2" fontId="2" fillId="0" borderId="1" xfId="0" applyNumberFormat="1" applyFont="1" applyBorder="1" applyAlignment="1" applyProtection="1">
      <alignment horizontal="center" vertical="center" wrapText="1"/>
    </xf>
    <xf numFmtId="0" fontId="1" fillId="0" borderId="1" xfId="0" applyFont="1" applyBorder="1" applyAlignment="1">
      <alignment horizontal="left" vertical="center" wrapText="1"/>
    </xf>
    <xf numFmtId="166" fontId="1" fillId="0" borderId="1" xfId="0" applyNumberFormat="1" applyFont="1" applyBorder="1" applyAlignment="1">
      <alignment horizontal="center" vertical="center"/>
    </xf>
    <xf numFmtId="0" fontId="2"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66" fontId="2" fillId="0" borderId="1" xfId="0" applyNumberFormat="1" applyFont="1" applyBorder="1" applyAlignment="1">
      <alignment horizontal="center" vertical="center"/>
    </xf>
    <xf numFmtId="0" fontId="2" fillId="0" borderId="14" xfId="0" applyFont="1" applyBorder="1" applyAlignment="1">
      <alignment horizontal="center" vertical="center"/>
    </xf>
    <xf numFmtId="2" fontId="1" fillId="0" borderId="1" xfId="0" applyNumberFormat="1" applyFont="1" applyBorder="1" applyAlignment="1">
      <alignment horizontal="center" vertical="center" wrapText="1"/>
    </xf>
    <xf numFmtId="0" fontId="2" fillId="0" borderId="15" xfId="0" applyFont="1" applyBorder="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pplyProtection="1">
      <alignment horizontal="center" vertical="center" wrapText="1"/>
    </xf>
    <xf numFmtId="164" fontId="2" fillId="0" borderId="1" xfId="0" applyNumberFormat="1" applyFont="1" applyBorder="1" applyAlignment="1" applyProtection="1">
      <alignment horizontal="center" vertical="center" wrapText="1"/>
    </xf>
    <xf numFmtId="2" fontId="2" fillId="0" borderId="0" xfId="0" applyNumberFormat="1" applyFont="1" applyBorder="1" applyAlignment="1">
      <alignment horizontal="center" vertical="center" wrapText="1"/>
    </xf>
    <xf numFmtId="0" fontId="2" fillId="0" borderId="0" xfId="0" applyFont="1" applyBorder="1" applyAlignment="1">
      <alignment horizontal="right" vertical="center" wrapText="1"/>
    </xf>
    <xf numFmtId="2" fontId="2" fillId="0" borderId="0" xfId="0" applyNumberFormat="1" applyFont="1" applyBorder="1" applyAlignment="1">
      <alignment horizontal="right" vertical="center" wrapText="1"/>
    </xf>
    <xf numFmtId="9" fontId="2" fillId="0" borderId="0" xfId="0" applyNumberFormat="1" applyFont="1" applyBorder="1" applyAlignment="1">
      <alignment horizontal="right" vertical="center" wrapText="1"/>
    </xf>
    <xf numFmtId="0" fontId="2" fillId="0" borderId="0" xfId="0" applyFont="1" applyBorder="1" applyAlignment="1">
      <alignment vertical="center"/>
    </xf>
    <xf numFmtId="2" fontId="2" fillId="0" borderId="0" xfId="0" applyNumberFormat="1" applyFont="1" applyBorder="1" applyAlignment="1">
      <alignment horizontal="right" vertical="center"/>
    </xf>
    <xf numFmtId="166" fontId="2" fillId="0" borderId="0" xfId="0" applyNumberFormat="1" applyFont="1" applyBorder="1" applyAlignment="1">
      <alignment horizontal="right" vertical="center"/>
    </xf>
    <xf numFmtId="0" fontId="0" fillId="0" borderId="0" xfId="0" applyFont="1" applyAlignment="1">
      <alignment horizontal="right" wrapText="1"/>
    </xf>
    <xf numFmtId="0" fontId="0" fillId="0" borderId="0" xfId="0" applyFont="1"/>
    <xf numFmtId="0" fontId="0" fillId="0" borderId="0" xfId="0" applyFont="1" applyAlignment="1">
      <alignment horizontal="left"/>
    </xf>
    <xf numFmtId="0" fontId="7" fillId="0" borderId="0" xfId="0" applyFont="1" applyBorder="1" applyAlignment="1">
      <alignment horizontal="right" wrapText="1"/>
    </xf>
    <xf numFmtId="0" fontId="7" fillId="0" borderId="16" xfId="0" applyFont="1" applyBorder="1" applyAlignment="1">
      <alignment vertical="center"/>
    </xf>
    <xf numFmtId="0" fontId="7" fillId="0" borderId="17" xfId="0" applyFont="1" applyBorder="1" applyAlignment="1">
      <alignment horizontal="center" vertic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Border="1" applyAlignment="1">
      <alignment horizontal="right"/>
    </xf>
    <xf numFmtId="0" fontId="7" fillId="0" borderId="19" xfId="0" applyFont="1" applyBorder="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xf numFmtId="0" fontId="7" fillId="0" borderId="0" xfId="0" applyFont="1"/>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20" xfId="0" applyFont="1" applyBorder="1" applyAlignment="1">
      <alignment horizontal="center" vertical="center"/>
    </xf>
    <xf numFmtId="0" fontId="9" fillId="3" borderId="1" xfId="0" applyFont="1" applyFill="1" applyBorder="1" applyAlignment="1">
      <alignment horizontal="center" vertical="center"/>
    </xf>
    <xf numFmtId="0" fontId="7" fillId="0" borderId="21" xfId="0" applyFont="1" applyBorder="1" applyAlignment="1">
      <alignment horizontal="right" vertical="center"/>
    </xf>
    <xf numFmtId="0" fontId="2" fillId="0" borderId="22" xfId="0" applyFont="1" applyBorder="1" applyAlignment="1">
      <alignment vertical="center"/>
    </xf>
    <xf numFmtId="1" fontId="7" fillId="0" borderId="22" xfId="0" applyNumberFormat="1" applyFont="1" applyBorder="1" applyAlignment="1">
      <alignment horizontal="center" vertical="center"/>
    </xf>
    <xf numFmtId="1" fontId="8" fillId="0" borderId="22" xfId="0" applyNumberFormat="1" applyFont="1" applyBorder="1" applyAlignment="1">
      <alignment horizontal="center" vertical="center"/>
    </xf>
    <xf numFmtId="1" fontId="12" fillId="3" borderId="22" xfId="0" applyNumberFormat="1" applyFont="1" applyFill="1" applyBorder="1" applyAlignment="1">
      <alignment horizontal="center" vertical="center"/>
    </xf>
    <xf numFmtId="0" fontId="7" fillId="0" borderId="0" xfId="0" applyFont="1" applyAlignment="1">
      <alignment horizontal="right" vertical="center" wrapText="1"/>
    </xf>
    <xf numFmtId="0" fontId="12" fillId="0" borderId="0" xfId="0" applyFont="1" applyAlignment="1">
      <alignment horizontal="center" vertical="center"/>
    </xf>
    <xf numFmtId="1" fontId="7" fillId="0" borderId="0" xfId="0" applyNumberFormat="1" applyFont="1"/>
    <xf numFmtId="0" fontId="7" fillId="0" borderId="9" xfId="0" applyFont="1" applyBorder="1" applyAlignment="1">
      <alignment horizontal="right" vertical="center" wrapText="1"/>
    </xf>
    <xf numFmtId="0" fontId="7" fillId="0" borderId="9"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8" fillId="0" borderId="9" xfId="0" applyFont="1" applyBorder="1" applyAlignment="1">
      <alignment horizontal="center" vertical="center"/>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0" fontId="13" fillId="0" borderId="1" xfId="0" applyFont="1" applyBorder="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wrapText="1"/>
    </xf>
    <xf numFmtId="0" fontId="14" fillId="0" borderId="0" xfId="0" applyFont="1" applyAlignment="1">
      <alignment horizontal="left" vertical="center"/>
    </xf>
    <xf numFmtId="0" fontId="2" fillId="0" borderId="0" xfId="0" applyFont="1" applyAlignment="1">
      <alignment horizontal="center" vertical="center"/>
    </xf>
    <xf numFmtId="0" fontId="7" fillId="0" borderId="0" xfId="0" applyFont="1" applyBorder="1" applyAlignment="1">
      <alignment horizontal="right" vertical="center" wrapText="1"/>
    </xf>
    <xf numFmtId="0" fontId="7" fillId="0" borderId="0" xfId="0" applyFont="1" applyBorder="1" applyAlignment="1">
      <alignment horizontal="center" vertical="center"/>
    </xf>
    <xf numFmtId="0" fontId="7" fillId="0" borderId="1" xfId="0" applyFont="1" applyBorder="1" applyAlignment="1">
      <alignment vertical="center" wrapText="1"/>
    </xf>
    <xf numFmtId="0" fontId="2" fillId="0" borderId="0" xfId="0" applyFont="1" applyBorder="1" applyAlignment="1">
      <alignment horizontal="right"/>
    </xf>
    <xf numFmtId="0" fontId="1"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Alignment="1">
      <alignment horizontal="center" vertical="center" wrapText="1"/>
    </xf>
    <xf numFmtId="2" fontId="2" fillId="0" borderId="0" xfId="0" applyNumberFormat="1"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4" xfId="0" applyFont="1" applyBorder="1" applyAlignment="1">
      <alignment horizontal="left" vertical="center"/>
    </xf>
    <xf numFmtId="0" fontId="2" fillId="0" borderId="14" xfId="0" applyFont="1" applyBorder="1" applyAlignment="1">
      <alignment vertical="center" wrapText="1"/>
    </xf>
    <xf numFmtId="2" fontId="2" fillId="0" borderId="14" xfId="0" applyNumberFormat="1" applyFont="1" applyBorder="1" applyAlignment="1">
      <alignment horizontal="center" vertical="center" wrapText="1"/>
    </xf>
    <xf numFmtId="49" fontId="2" fillId="0" borderId="9" xfId="0" applyNumberFormat="1" applyFont="1" applyBorder="1" applyAlignment="1" applyProtection="1">
      <alignment horizontal="center" vertical="center" wrapText="1"/>
    </xf>
    <xf numFmtId="0" fontId="2" fillId="0" borderId="9" xfId="0" applyFont="1" applyBorder="1" applyAlignment="1">
      <alignment vertical="center" wrapText="1"/>
    </xf>
    <xf numFmtId="0" fontId="2" fillId="0" borderId="24" xfId="0" applyFont="1" applyBorder="1" applyAlignment="1">
      <alignment vertical="center" wrapText="1"/>
    </xf>
    <xf numFmtId="0" fontId="2" fillId="0" borderId="24" xfId="0" applyFont="1" applyBorder="1" applyAlignment="1">
      <alignment horizontal="center" vertical="center" wrapText="1"/>
    </xf>
    <xf numFmtId="1" fontId="2" fillId="0" borderId="9"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0" fontId="2" fillId="0" borderId="1" xfId="0" applyFont="1" applyBorder="1" applyAlignment="1">
      <alignment horizontal="right" vertical="center" wrapText="1"/>
    </xf>
    <xf numFmtId="164" fontId="2" fillId="0" borderId="1" xfId="1" applyFont="1" applyBorder="1" applyAlignment="1" applyProtection="1">
      <alignment horizontal="center" vertical="center"/>
    </xf>
    <xf numFmtId="164" fontId="2" fillId="0" borderId="1" xfId="1" applyFont="1" applyBorder="1" applyAlignment="1" applyProtection="1">
      <alignment horizontal="center" vertical="center" wrapText="1"/>
    </xf>
    <xf numFmtId="164" fontId="2" fillId="0" borderId="14" xfId="1" applyFont="1" applyBorder="1" applyAlignment="1" applyProtection="1">
      <alignment horizontal="center" vertical="center" wrapText="1"/>
    </xf>
    <xf numFmtId="2" fontId="2" fillId="0" borderId="1" xfId="0" applyNumberFormat="1" applyFont="1" applyBorder="1" applyAlignment="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horizontal="left" vertical="center" wrapText="1"/>
    </xf>
    <xf numFmtId="2" fontId="2" fillId="0" borderId="25" xfId="0" applyNumberFormat="1" applyFont="1" applyBorder="1" applyAlignment="1">
      <alignment horizontal="center" vertical="center" wrapText="1"/>
    </xf>
    <xf numFmtId="2" fontId="2" fillId="0" borderId="26" xfId="0" applyNumberFormat="1" applyFont="1" applyBorder="1" applyAlignment="1">
      <alignment horizontal="center" vertical="center" wrapText="1"/>
    </xf>
    <xf numFmtId="167" fontId="2" fillId="0" borderId="14" xfId="0" applyNumberFormat="1" applyFont="1" applyBorder="1" applyAlignment="1">
      <alignment horizontal="center" vertical="center" wrapText="1"/>
    </xf>
    <xf numFmtId="2" fontId="2" fillId="0" borderId="1" xfId="0" applyNumberFormat="1" applyFont="1" applyBorder="1" applyAlignment="1">
      <alignment vertical="center" wrapText="1"/>
    </xf>
    <xf numFmtId="0" fontId="2" fillId="0" borderId="0" xfId="0" applyFont="1" applyBorder="1" applyAlignment="1">
      <alignment horizontal="left" vertical="center" wrapText="1"/>
    </xf>
    <xf numFmtId="9" fontId="2" fillId="0" borderId="0" xfId="0" applyNumberFormat="1" applyFont="1" applyBorder="1" applyAlignment="1">
      <alignment horizontal="center" vertical="center" wrapText="1"/>
    </xf>
    <xf numFmtId="0" fontId="2" fillId="0" borderId="0" xfId="0" applyFont="1" applyBorder="1" applyAlignment="1" applyProtection="1">
      <alignment horizontal="center" vertical="center"/>
    </xf>
    <xf numFmtId="0" fontId="1" fillId="0" borderId="27" xfId="0" applyFont="1" applyBorder="1" applyAlignment="1">
      <alignment vertical="center"/>
    </xf>
    <xf numFmtId="0" fontId="2" fillId="0" borderId="1" xfId="0" applyFont="1" applyBorder="1" applyAlignment="1" applyProtection="1">
      <alignment vertical="center" wrapText="1"/>
    </xf>
    <xf numFmtId="2" fontId="2" fillId="0" borderId="3" xfId="0" applyNumberFormat="1" applyFont="1" applyBorder="1" applyAlignment="1">
      <alignment horizontal="center" vertical="center" wrapText="1"/>
    </xf>
    <xf numFmtId="0" fontId="1" fillId="0" borderId="1" xfId="0" applyFont="1" applyBorder="1" applyAlignment="1">
      <alignment vertical="center" wrapText="1"/>
    </xf>
    <xf numFmtId="2" fontId="16" fillId="0" borderId="1" xfId="0" applyNumberFormat="1" applyFont="1" applyBorder="1" applyAlignment="1">
      <alignment horizontal="center" vertical="center" wrapText="1"/>
    </xf>
    <xf numFmtId="1" fontId="2" fillId="0" borderId="0" xfId="0" applyNumberFormat="1" applyFont="1" applyAlignment="1">
      <alignment horizontal="center" vertical="center" wrapText="1"/>
    </xf>
    <xf numFmtId="49" fontId="2" fillId="0" borderId="0" xfId="0" applyNumberFormat="1" applyFont="1" applyBorder="1" applyAlignment="1" applyProtection="1">
      <alignment horizontal="center" vertical="center" wrapText="1"/>
    </xf>
    <xf numFmtId="2" fontId="2" fillId="0" borderId="0" xfId="0" applyNumberFormat="1" applyFont="1" applyBorder="1" applyAlignment="1">
      <alignment vertical="center" wrapText="1"/>
    </xf>
    <xf numFmtId="0" fontId="0" fillId="0" borderId="0" xfId="0" applyFont="1" applyAlignment="1">
      <alignment horizontal="left"/>
    </xf>
    <xf numFmtId="0" fontId="2" fillId="0" borderId="0" xfId="0" applyFont="1" applyAlignment="1">
      <alignment horizontal="left" vertical="center" wrapText="1"/>
    </xf>
    <xf numFmtId="0" fontId="4" fillId="0" borderId="14" xfId="0" applyFont="1" applyBorder="1" applyAlignment="1"/>
    <xf numFmtId="0" fontId="1" fillId="0" borderId="1" xfId="0" applyFont="1" applyBorder="1" applyAlignment="1">
      <alignment horizontal="left"/>
    </xf>
    <xf numFmtId="0" fontId="2" fillId="0" borderId="1" xfId="0" applyFont="1" applyBorder="1" applyAlignment="1" applyProtection="1">
      <alignment horizontal="center" vertical="center"/>
    </xf>
    <xf numFmtId="0" fontId="2" fillId="0" borderId="1" xfId="0" applyFont="1" applyBorder="1" applyAlignment="1">
      <alignment horizontal="left" wrapText="1"/>
    </xf>
    <xf numFmtId="0" fontId="2" fillId="0" borderId="1" xfId="0" applyFont="1" applyBorder="1" applyAlignment="1">
      <alignment horizontal="center"/>
    </xf>
    <xf numFmtId="164" fontId="2" fillId="0" borderId="25" xfId="1" applyFont="1" applyBorder="1" applyAlignment="1" applyProtection="1">
      <alignment horizontal="center" vertical="center"/>
    </xf>
    <xf numFmtId="164" fontId="2" fillId="0" borderId="25" xfId="1" applyFont="1" applyBorder="1" applyAlignment="1" applyProtection="1">
      <alignment horizontal="center" vertical="center" wrapText="1"/>
    </xf>
    <xf numFmtId="0" fontId="2" fillId="0" borderId="1" xfId="0" applyFont="1" applyBorder="1"/>
    <xf numFmtId="1" fontId="2" fillId="0" borderId="1" xfId="0" applyNumberFormat="1" applyFont="1" applyBorder="1" applyAlignment="1">
      <alignment horizontal="center"/>
    </xf>
    <xf numFmtId="2" fontId="2" fillId="0" borderId="1" xfId="0" applyNumberFormat="1" applyFont="1" applyBorder="1" applyAlignment="1">
      <alignment horizontal="center"/>
    </xf>
    <xf numFmtId="168" fontId="2" fillId="0" borderId="1" xfId="0" applyNumberFormat="1" applyFont="1" applyBorder="1" applyAlignment="1">
      <alignment horizontal="center"/>
    </xf>
    <xf numFmtId="0" fontId="2" fillId="0" borderId="0" xfId="0" applyFont="1" applyBorder="1" applyAlignment="1">
      <alignment horizontal="center"/>
    </xf>
    <xf numFmtId="0" fontId="1" fillId="0" borderId="0" xfId="0" applyFont="1" applyBorder="1"/>
    <xf numFmtId="0" fontId="2" fillId="0" borderId="0" xfId="0" applyFont="1" applyAlignment="1">
      <alignment horizontal="right" wrapText="1"/>
    </xf>
    <xf numFmtId="2" fontId="2" fillId="0" borderId="0" xfId="0" applyNumberFormat="1" applyFont="1" applyBorder="1" applyAlignment="1" applyProtection="1">
      <alignment horizontal="center" vertical="center" wrapText="1"/>
    </xf>
    <xf numFmtId="0" fontId="1" fillId="0" borderId="0" xfId="0" applyFont="1"/>
    <xf numFmtId="0" fontId="2" fillId="0" borderId="0" xfId="0" applyFont="1"/>
    <xf numFmtId="9" fontId="2" fillId="0" borderId="0" xfId="0" applyNumberFormat="1" applyFont="1" applyBorder="1"/>
    <xf numFmtId="0" fontId="2" fillId="0" borderId="1"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2" fillId="0" borderId="28" xfId="0" applyFont="1" applyBorder="1" applyAlignment="1">
      <alignment horizontal="left" vertical="center"/>
    </xf>
    <xf numFmtId="0" fontId="2" fillId="0" borderId="28" xfId="0" applyFont="1" applyBorder="1" applyAlignment="1">
      <alignment horizontal="center" vertical="center"/>
    </xf>
    <xf numFmtId="1" fontId="2" fillId="0" borderId="28" xfId="0" applyNumberFormat="1" applyFont="1" applyBorder="1" applyAlignment="1">
      <alignment vertical="center" wrapText="1"/>
    </xf>
    <xf numFmtId="0" fontId="2" fillId="0" borderId="7" xfId="0" applyFont="1" applyBorder="1" applyAlignment="1">
      <alignment horizontal="center"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169"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2" fontId="2" fillId="0" borderId="1" xfId="0" applyNumberFormat="1" applyFont="1" applyBorder="1" applyAlignment="1" applyProtection="1">
      <alignment horizontal="center" vertical="center"/>
    </xf>
    <xf numFmtId="1" fontId="2" fillId="0" borderId="4" xfId="0" applyNumberFormat="1" applyFont="1" applyBorder="1" applyAlignment="1">
      <alignment horizontal="left" vertical="center" wrapText="1"/>
    </xf>
    <xf numFmtId="0" fontId="4" fillId="0" borderId="25" xfId="0" applyFont="1" applyBorder="1" applyAlignment="1">
      <alignment horizontal="center" vertical="center"/>
    </xf>
    <xf numFmtId="0" fontId="1" fillId="0" borderId="25" xfId="0" applyFont="1" applyBorder="1" applyAlignment="1">
      <alignment horizontal="left" vertical="center"/>
    </xf>
    <xf numFmtId="2" fontId="2" fillId="0" borderId="25" xfId="0" applyNumberFormat="1" applyFont="1" applyBorder="1" applyAlignment="1">
      <alignment horizontal="left" vertical="center"/>
    </xf>
    <xf numFmtId="0" fontId="17"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pplyProtection="1">
      <alignment horizontal="center" vertical="center"/>
    </xf>
    <xf numFmtId="0" fontId="2" fillId="0" borderId="1" xfId="0" applyFont="1" applyBorder="1" applyAlignment="1">
      <alignment horizontal="left" vertical="center"/>
    </xf>
    <xf numFmtId="0" fontId="1" fillId="0" borderId="1" xfId="2" applyFont="1" applyBorder="1" applyAlignment="1" applyProtection="1">
      <alignment horizontal="left" vertical="center" wrapText="1"/>
    </xf>
    <xf numFmtId="0" fontId="2" fillId="0" borderId="1" xfId="2" applyFont="1" applyBorder="1" applyAlignment="1" applyProtection="1">
      <alignment vertical="center"/>
    </xf>
    <xf numFmtId="49" fontId="2" fillId="0" borderId="1" xfId="2" applyNumberFormat="1" applyFont="1" applyBorder="1" applyAlignment="1" applyProtection="1">
      <alignment horizontal="center" vertical="center" wrapText="1"/>
    </xf>
    <xf numFmtId="2" fontId="2" fillId="0" borderId="1" xfId="2" applyNumberFormat="1" applyFont="1" applyBorder="1" applyAlignment="1" applyProtection="1">
      <alignment horizontal="center" vertical="center" wrapText="1"/>
    </xf>
    <xf numFmtId="2" fontId="16" fillId="0" borderId="1" xfId="2" applyNumberFormat="1" applyFont="1" applyBorder="1" applyAlignment="1" applyProtection="1">
      <alignment horizontal="center" vertical="center" wrapText="1"/>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4" xfId="2" applyFont="1" applyBorder="1" applyAlignment="1" applyProtection="1">
      <alignment horizontal="center" vertical="center" wrapText="1"/>
    </xf>
    <xf numFmtId="2" fontId="2" fillId="0" borderId="1" xfId="0" applyNumberFormat="1" applyFont="1" applyBorder="1" applyAlignment="1">
      <alignment vertical="center"/>
    </xf>
    <xf numFmtId="49" fontId="2" fillId="0" borderId="0" xfId="2" applyNumberFormat="1" applyFont="1" applyBorder="1" applyAlignment="1" applyProtection="1">
      <alignment horizontal="center" vertical="center" wrapText="1"/>
    </xf>
    <xf numFmtId="0" fontId="2" fillId="0" borderId="0" xfId="2" applyFont="1" applyBorder="1" applyAlignment="1" applyProtection="1">
      <alignment horizontal="left" vertical="center" wrapText="1"/>
    </xf>
    <xf numFmtId="0" fontId="2" fillId="0" borderId="0" xfId="2" applyFont="1" applyBorder="1" applyAlignment="1" applyProtection="1">
      <alignment horizontal="center" vertical="center" wrapText="1"/>
    </xf>
    <xf numFmtId="2" fontId="2" fillId="0" borderId="0" xfId="2" applyNumberFormat="1" applyFont="1" applyBorder="1" applyAlignment="1" applyProtection="1">
      <alignment horizontal="center" vertical="center" wrapText="1"/>
    </xf>
    <xf numFmtId="2" fontId="2" fillId="0" borderId="0" xfId="0" applyNumberFormat="1" applyFont="1" applyBorder="1" applyAlignment="1">
      <alignment vertical="center"/>
    </xf>
    <xf numFmtId="0" fontId="0" fillId="0" borderId="0" xfId="0" applyFont="1" applyAlignment="1">
      <alignment horizontal="left" wrapText="1"/>
    </xf>
    <xf numFmtId="0" fontId="4" fillId="0" borderId="1" xfId="0" applyFont="1" applyBorder="1" applyAlignment="1">
      <alignment horizontal="left" vertical="center" wrapText="1"/>
    </xf>
    <xf numFmtId="2" fontId="2" fillId="0" borderId="1" xfId="2" applyNumberFormat="1" applyFont="1" applyBorder="1" applyAlignment="1" applyProtection="1">
      <alignment horizontal="center" vertical="center"/>
    </xf>
    <xf numFmtId="164" fontId="2" fillId="0" borderId="1" xfId="2" applyNumberFormat="1" applyFont="1" applyBorder="1" applyAlignment="1" applyProtection="1">
      <alignment horizontal="center" vertical="center"/>
    </xf>
    <xf numFmtId="2" fontId="1" fillId="0" borderId="1" xfId="2" applyNumberFormat="1" applyFont="1" applyBorder="1" applyAlignment="1" applyProtection="1">
      <alignment horizontal="center" vertical="center"/>
    </xf>
    <xf numFmtId="166" fontId="2" fillId="0" borderId="0" xfId="0" applyNumberFormat="1" applyFont="1" applyBorder="1" applyAlignment="1">
      <alignment horizontal="center" vertical="center" wrapText="1"/>
    </xf>
    <xf numFmtId="2" fontId="2" fillId="0" borderId="31" xfId="2" applyNumberFormat="1" applyFont="1" applyBorder="1" applyAlignment="1" applyProtection="1">
      <alignment horizontal="center" vertical="center"/>
    </xf>
    <xf numFmtId="164" fontId="2" fillId="0" borderId="31" xfId="2" applyNumberFormat="1" applyFont="1" applyBorder="1" applyAlignment="1" applyProtection="1">
      <alignment horizontal="center" vertical="center"/>
    </xf>
    <xf numFmtId="0" fontId="19" fillId="0" borderId="0" xfId="0" applyFont="1" applyAlignment="1"/>
    <xf numFmtId="0" fontId="4" fillId="0" borderId="0" xfId="0" applyFont="1" applyBorder="1" applyAlignment="1">
      <alignment horizontal="right" vertical="center"/>
    </xf>
    <xf numFmtId="0" fontId="4" fillId="0" borderId="0" xfId="0" applyFont="1" applyBorder="1" applyAlignment="1">
      <alignment horizontal="left" vertical="center"/>
    </xf>
    <xf numFmtId="2" fontId="2" fillId="0" borderId="0" xfId="0" applyNumberFormat="1" applyFont="1" applyBorder="1" applyAlignment="1">
      <alignment horizontal="left" vertical="center"/>
    </xf>
    <xf numFmtId="0" fontId="4" fillId="0" borderId="0" xfId="0" applyFont="1" applyAlignment="1">
      <alignment horizontal="left" vertical="center"/>
    </xf>
    <xf numFmtId="2" fontId="2" fillId="0" borderId="0" xfId="0" applyNumberFormat="1" applyFont="1" applyAlignment="1">
      <alignment horizontal="left" vertical="center"/>
    </xf>
    <xf numFmtId="0" fontId="4" fillId="0" borderId="0" xfId="0" applyFont="1" applyAlignment="1">
      <alignment vertical="center"/>
    </xf>
    <xf numFmtId="2" fontId="2" fillId="0" borderId="0" xfId="0" applyNumberFormat="1" applyFont="1" applyAlignment="1">
      <alignment vertical="center"/>
    </xf>
    <xf numFmtId="2" fontId="20" fillId="0" borderId="0" xfId="0" applyNumberFormat="1" applyFont="1" applyAlignment="1">
      <alignment vertical="center"/>
    </xf>
    <xf numFmtId="0" fontId="1" fillId="0" borderId="0" xfId="0" applyFont="1" applyBorder="1" applyAlignment="1">
      <alignment vertical="center" wrapText="1"/>
    </xf>
    <xf numFmtId="2" fontId="4" fillId="0" borderId="1" xfId="0" applyNumberFormat="1"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2" fontId="4" fillId="0" borderId="1" xfId="0" applyNumberFormat="1" applyFont="1" applyBorder="1" applyAlignment="1">
      <alignment horizontal="center" vertical="center"/>
    </xf>
    <xf numFmtId="0" fontId="2" fillId="0" borderId="24" xfId="0" applyFont="1" applyBorder="1" applyAlignment="1">
      <alignment horizontal="center" vertical="center"/>
    </xf>
    <xf numFmtId="0" fontId="1" fillId="0" borderId="25" xfId="0" applyFont="1" applyBorder="1" applyAlignment="1">
      <alignment horizontal="center" vertical="center" wrapText="1"/>
    </xf>
    <xf numFmtId="0" fontId="2" fillId="0" borderId="32" xfId="0" applyFont="1" applyBorder="1"/>
    <xf numFmtId="2" fontId="1" fillId="0" borderId="1" xfId="0" applyNumberFormat="1" applyFont="1" applyBorder="1" applyAlignment="1">
      <alignment horizontal="center" vertical="center"/>
    </xf>
    <xf numFmtId="0" fontId="1" fillId="0" borderId="0" xfId="0" applyFont="1" applyBorder="1" applyAlignment="1" applyProtection="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20" fillId="0" borderId="1" xfId="0" applyFont="1" applyBorder="1" applyAlignment="1">
      <alignment wrapText="1"/>
    </xf>
    <xf numFmtId="0" fontId="20" fillId="0" borderId="1" xfId="0" applyFont="1" applyBorder="1" applyAlignment="1">
      <alignment horizontal="center" wrapText="1"/>
    </xf>
    <xf numFmtId="0" fontId="4" fillId="0" borderId="33" xfId="0" applyFont="1" applyBorder="1" applyAlignment="1">
      <alignment horizontal="center" wrapText="1"/>
    </xf>
    <xf numFmtId="0" fontId="2" fillId="0" borderId="34" xfId="0" applyFont="1" applyBorder="1" applyAlignment="1">
      <alignment horizontal="center" vertical="center" wrapText="1"/>
    </xf>
    <xf numFmtId="49" fontId="2" fillId="0" borderId="1" xfId="2" applyNumberFormat="1" applyFont="1" applyBorder="1" applyAlignment="1" applyProtection="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center" vertical="center"/>
    </xf>
    <xf numFmtId="2" fontId="1" fillId="0" borderId="0" xfId="0" applyNumberFormat="1" applyFont="1" applyBorder="1" applyAlignment="1">
      <alignment horizontal="center" vertical="center"/>
    </xf>
    <xf numFmtId="2" fontId="1" fillId="0" borderId="0" xfId="0" applyNumberFormat="1" applyFont="1" applyAlignment="1">
      <alignment horizontal="center" vertical="center"/>
    </xf>
    <xf numFmtId="0" fontId="21" fillId="0" borderId="1" xfId="0" applyFont="1" applyBorder="1" applyAlignment="1">
      <alignment vertical="center" wrapText="1"/>
    </xf>
    <xf numFmtId="0" fontId="7" fillId="0" borderId="20" xfId="0" applyFont="1" applyBorder="1" applyAlignment="1">
      <alignment horizontal="center" vertical="center" wrapText="1"/>
    </xf>
    <xf numFmtId="0" fontId="12" fillId="0" borderId="0" xfId="0" applyFont="1" applyBorder="1" applyAlignment="1">
      <alignment horizontal="left" vertical="center" wrapText="1"/>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lignment horizontal="center" vertical="center"/>
    </xf>
    <xf numFmtId="0" fontId="2" fillId="0" borderId="4" xfId="0" applyFont="1" applyBorder="1" applyAlignment="1">
      <alignment horizontal="left" vertical="center" textRotation="90" wrapText="1"/>
    </xf>
    <xf numFmtId="0" fontId="2" fillId="0" borderId="23" xfId="0" applyFont="1" applyBorder="1" applyAlignment="1">
      <alignment horizontal="center" vertical="center" wrapText="1"/>
    </xf>
    <xf numFmtId="2" fontId="2" fillId="0" borderId="0" xfId="0" applyNumberFormat="1" applyFont="1" applyBorder="1" applyAlignment="1" applyProtection="1">
      <alignment horizont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xf>
  </cellXfs>
  <cellStyles count="3">
    <cellStyle name="Komats" xfId="1" builtinId="3"/>
    <cellStyle name="Parasts" xfId="0" builtinId="0"/>
    <cellStyle name="Paskaidrojošs teksts"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21</xdr:col>
      <xdr:colOff>168480</xdr:colOff>
      <xdr:row>1</xdr:row>
      <xdr:rowOff>2160</xdr:rowOff>
    </xdr:from>
    <xdr:to>
      <xdr:col>23</xdr:col>
      <xdr:colOff>579960</xdr:colOff>
      <xdr:row>11</xdr:row>
      <xdr:rowOff>153360</xdr:rowOff>
    </xdr:to>
    <xdr:pic>
      <xdr:nvPicPr>
        <xdr:cNvPr id="2" name="Picture 7">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12693600" y="131040"/>
          <a:ext cx="1744920" cy="2113920"/>
        </a:xfrm>
        <a:prstGeom prst="rect">
          <a:avLst/>
        </a:prstGeom>
        <a:ln>
          <a:noFill/>
        </a:ln>
      </xdr:spPr>
    </xdr:pic>
    <xdr:clientData/>
  </xdr:twoCellAnchor>
  <xdr:twoCellAnchor editAs="oneCell">
    <xdr:from>
      <xdr:col>24</xdr:col>
      <xdr:colOff>208080</xdr:colOff>
      <xdr:row>1</xdr:row>
      <xdr:rowOff>29520</xdr:rowOff>
    </xdr:from>
    <xdr:to>
      <xdr:col>26</xdr:col>
      <xdr:colOff>597240</xdr:colOff>
      <xdr:row>11</xdr:row>
      <xdr:rowOff>164520</xdr:rowOff>
    </xdr:to>
    <xdr:pic>
      <xdr:nvPicPr>
        <xdr:cNvPr id="3" name="Picture 8">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xdr:blipFill>
      <xdr:spPr>
        <a:xfrm>
          <a:off x="14733360" y="158400"/>
          <a:ext cx="1722960" cy="2097720"/>
        </a:xfrm>
        <a:prstGeom prst="rect">
          <a:avLst/>
        </a:prstGeom>
        <a:ln>
          <a:noFill/>
        </a:ln>
      </xdr:spPr>
    </xdr:pic>
    <xdr:clientData/>
  </xdr:twoCellAnchor>
  <xdr:twoCellAnchor editAs="oneCell">
    <xdr:from>
      <xdr:col>21</xdr:col>
      <xdr:colOff>155520</xdr:colOff>
      <xdr:row>12</xdr:row>
      <xdr:rowOff>45000</xdr:rowOff>
    </xdr:from>
    <xdr:to>
      <xdr:col>24</xdr:col>
      <xdr:colOff>34920</xdr:colOff>
      <xdr:row>27</xdr:row>
      <xdr:rowOff>176400</xdr:rowOff>
    </xdr:to>
    <xdr:pic>
      <xdr:nvPicPr>
        <xdr:cNvPr id="4" name="Picture 9">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a:stretch/>
      </xdr:blipFill>
      <xdr:spPr>
        <a:xfrm>
          <a:off x="12680640" y="2317320"/>
          <a:ext cx="1879560" cy="2846160"/>
        </a:xfrm>
        <a:prstGeom prst="rect">
          <a:avLst/>
        </a:prstGeom>
        <a:ln>
          <a:noFill/>
        </a:ln>
      </xdr:spPr>
    </xdr:pic>
    <xdr:clientData/>
  </xdr:twoCellAnchor>
  <xdr:twoCellAnchor editAs="oneCell">
    <xdr:from>
      <xdr:col>24</xdr:col>
      <xdr:colOff>131760</xdr:colOff>
      <xdr:row>12</xdr:row>
      <xdr:rowOff>41400</xdr:rowOff>
    </xdr:from>
    <xdr:to>
      <xdr:col>26</xdr:col>
      <xdr:colOff>625680</xdr:colOff>
      <xdr:row>27</xdr:row>
      <xdr:rowOff>73800</xdr:rowOff>
    </xdr:to>
    <xdr:pic>
      <xdr:nvPicPr>
        <xdr:cNvPr id="5" name="Picture 10">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a:stretch/>
      </xdr:blipFill>
      <xdr:spPr>
        <a:xfrm>
          <a:off x="14657040" y="2313720"/>
          <a:ext cx="1827720" cy="2747160"/>
        </a:xfrm>
        <a:prstGeom prst="rect">
          <a:avLst/>
        </a:prstGeom>
        <a:ln>
          <a:noFill/>
        </a:ln>
      </xdr:spPr>
    </xdr:pic>
    <xdr:clientData/>
  </xdr:twoCellAnchor>
  <xdr:twoCellAnchor editAs="oneCell">
    <xdr:from>
      <xdr:col>21</xdr:col>
      <xdr:colOff>181080</xdr:colOff>
      <xdr:row>24</xdr:row>
      <xdr:rowOff>116640</xdr:rowOff>
    </xdr:from>
    <xdr:to>
      <xdr:col>24</xdr:col>
      <xdr:colOff>59040</xdr:colOff>
      <xdr:row>32</xdr:row>
      <xdr:rowOff>15120</xdr:rowOff>
    </xdr:to>
    <xdr:pic>
      <xdr:nvPicPr>
        <xdr:cNvPr id="6" name="Picture 11">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5"/>
        <a:stretch/>
      </xdr:blipFill>
      <xdr:spPr>
        <a:xfrm>
          <a:off x="12706200" y="4560840"/>
          <a:ext cx="1878120" cy="2013120"/>
        </a:xfrm>
        <a:prstGeom prst="rect">
          <a:avLst/>
        </a:prstGeom>
        <a:ln>
          <a:noFill/>
        </a:ln>
      </xdr:spPr>
    </xdr:pic>
    <xdr:clientData/>
  </xdr:twoCellAnchor>
  <xdr:twoCellAnchor editAs="oneCell">
    <xdr:from>
      <xdr:col>24</xdr:col>
      <xdr:colOff>220320</xdr:colOff>
      <xdr:row>26</xdr:row>
      <xdr:rowOff>7560</xdr:rowOff>
    </xdr:from>
    <xdr:to>
      <xdr:col>26</xdr:col>
      <xdr:colOff>628200</xdr:colOff>
      <xdr:row>31</xdr:row>
      <xdr:rowOff>508320</xdr:rowOff>
    </xdr:to>
    <xdr:pic>
      <xdr:nvPicPr>
        <xdr:cNvPr id="7" name="Picture 12">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6"/>
        <a:stretch/>
      </xdr:blipFill>
      <xdr:spPr>
        <a:xfrm>
          <a:off x="14745600" y="4813560"/>
          <a:ext cx="1741680" cy="1739160"/>
        </a:xfrm>
        <a:prstGeom prst="rect">
          <a:avLst/>
        </a:prstGeom>
        <a:ln>
          <a:noFill/>
        </a:ln>
      </xdr:spPr>
    </xdr:pic>
    <xdr:clientData/>
  </xdr:twoCellAnchor>
  <xdr:twoCellAnchor editAs="oneCell">
    <xdr:from>
      <xdr:col>27</xdr:col>
      <xdr:colOff>130320</xdr:colOff>
      <xdr:row>0</xdr:row>
      <xdr:rowOff>122760</xdr:rowOff>
    </xdr:from>
    <xdr:to>
      <xdr:col>30</xdr:col>
      <xdr:colOff>4320</xdr:colOff>
      <xdr:row>11</xdr:row>
      <xdr:rowOff>148680</xdr:rowOff>
    </xdr:to>
    <xdr:pic>
      <xdr:nvPicPr>
        <xdr:cNvPr id="8" name="Picture 13">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7"/>
        <a:stretch/>
      </xdr:blipFill>
      <xdr:spPr>
        <a:xfrm>
          <a:off x="16656120" y="122760"/>
          <a:ext cx="1702800" cy="2117520"/>
        </a:xfrm>
        <a:prstGeom prst="rect">
          <a:avLst/>
        </a:prstGeom>
        <a:ln>
          <a:noFill/>
        </a:ln>
      </xdr:spPr>
    </xdr:pic>
    <xdr:clientData/>
  </xdr:twoCellAnchor>
  <xdr:twoCellAnchor editAs="oneCell">
    <xdr:from>
      <xdr:col>27</xdr:col>
      <xdr:colOff>164160</xdr:colOff>
      <xdr:row>12</xdr:row>
      <xdr:rowOff>13320</xdr:rowOff>
    </xdr:from>
    <xdr:to>
      <xdr:col>30</xdr:col>
      <xdr:colOff>85320</xdr:colOff>
      <xdr:row>26</xdr:row>
      <xdr:rowOff>112680</xdr:rowOff>
    </xdr:to>
    <xdr:pic>
      <xdr:nvPicPr>
        <xdr:cNvPr id="9" name="Picture 14">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8"/>
        <a:stretch/>
      </xdr:blipFill>
      <xdr:spPr>
        <a:xfrm>
          <a:off x="16689960" y="2285640"/>
          <a:ext cx="1749960" cy="2633040"/>
        </a:xfrm>
        <a:prstGeom prst="rect">
          <a:avLst/>
        </a:prstGeom>
        <a:ln>
          <a:noFill/>
        </a:ln>
      </xdr:spPr>
    </xdr:pic>
    <xdr:clientData/>
  </xdr:twoCellAnchor>
  <xdr:twoCellAnchor editAs="oneCell">
    <xdr:from>
      <xdr:col>27</xdr:col>
      <xdr:colOff>113760</xdr:colOff>
      <xdr:row>25</xdr:row>
      <xdr:rowOff>105840</xdr:rowOff>
    </xdr:from>
    <xdr:to>
      <xdr:col>30</xdr:col>
      <xdr:colOff>103680</xdr:colOff>
      <xdr:row>32</xdr:row>
      <xdr:rowOff>117720</xdr:rowOff>
    </xdr:to>
    <xdr:pic>
      <xdr:nvPicPr>
        <xdr:cNvPr id="10" name="Picture 15">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9"/>
        <a:stretch/>
      </xdr:blipFill>
      <xdr:spPr>
        <a:xfrm>
          <a:off x="16639560" y="4731120"/>
          <a:ext cx="1818720" cy="1945440"/>
        </a:xfrm>
        <a:prstGeom prst="rect">
          <a:avLst/>
        </a:prstGeom>
        <a:ln>
          <a:noFill/>
        </a:ln>
      </xdr:spPr>
    </xdr:pic>
    <xdr:clientData/>
  </xdr:twoCellAnchor>
  <xdr:twoCellAnchor editAs="oneCell">
    <xdr:from>
      <xdr:col>30</xdr:col>
      <xdr:colOff>130320</xdr:colOff>
      <xdr:row>0</xdr:row>
      <xdr:rowOff>126360</xdr:rowOff>
    </xdr:from>
    <xdr:to>
      <xdr:col>33</xdr:col>
      <xdr:colOff>185040</xdr:colOff>
      <xdr:row>13</xdr:row>
      <xdr:rowOff>60480</xdr:rowOff>
    </xdr:to>
    <xdr:pic>
      <xdr:nvPicPr>
        <xdr:cNvPr id="11" name="Picture 16">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0"/>
        <a:stretch/>
      </xdr:blipFill>
      <xdr:spPr>
        <a:xfrm>
          <a:off x="18484920" y="126360"/>
          <a:ext cx="1797840" cy="23875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88920</xdr:colOff>
      <xdr:row>37</xdr:row>
      <xdr:rowOff>98640</xdr:rowOff>
    </xdr:from>
    <xdr:to>
      <xdr:col>4</xdr:col>
      <xdr:colOff>149400</xdr:colOff>
      <xdr:row>39</xdr:row>
      <xdr:rowOff>49320</xdr:rowOff>
    </xdr:to>
    <xdr:sp macro="" textlink="">
      <xdr:nvSpPr>
        <xdr:cNvPr id="10" name="CustomShape 1">
          <a:extLst>
            <a:ext uri="{FF2B5EF4-FFF2-40B4-BE49-F238E27FC236}">
              <a16:creationId xmlns:a16="http://schemas.microsoft.com/office/drawing/2014/main" id="{00000000-0008-0000-0C00-00000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 name="CustomShape 1">
          <a:extLst>
            <a:ext uri="{FF2B5EF4-FFF2-40B4-BE49-F238E27FC236}">
              <a16:creationId xmlns:a16="http://schemas.microsoft.com/office/drawing/2014/main" id="{00000000-0008-0000-0C00-00000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 name="CustomShape 1">
          <a:extLst>
            <a:ext uri="{FF2B5EF4-FFF2-40B4-BE49-F238E27FC236}">
              <a16:creationId xmlns:a16="http://schemas.microsoft.com/office/drawing/2014/main" id="{00000000-0008-0000-0C00-00000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 name="CustomShape 1">
          <a:extLst>
            <a:ext uri="{FF2B5EF4-FFF2-40B4-BE49-F238E27FC236}">
              <a16:creationId xmlns:a16="http://schemas.microsoft.com/office/drawing/2014/main" id="{00000000-0008-0000-0C00-00000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 name="CustomShape 1">
          <a:extLst>
            <a:ext uri="{FF2B5EF4-FFF2-40B4-BE49-F238E27FC236}">
              <a16:creationId xmlns:a16="http://schemas.microsoft.com/office/drawing/2014/main" id="{00000000-0008-0000-0C00-00000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 name="CustomShape 1">
          <a:extLst>
            <a:ext uri="{FF2B5EF4-FFF2-40B4-BE49-F238E27FC236}">
              <a16:creationId xmlns:a16="http://schemas.microsoft.com/office/drawing/2014/main" id="{00000000-0008-0000-0C00-00000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 name="CustomShape 1">
          <a:extLst>
            <a:ext uri="{FF2B5EF4-FFF2-40B4-BE49-F238E27FC236}">
              <a16:creationId xmlns:a16="http://schemas.microsoft.com/office/drawing/2014/main" id="{00000000-0008-0000-0C00-00001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 name="CustomShape 1">
          <a:extLst>
            <a:ext uri="{FF2B5EF4-FFF2-40B4-BE49-F238E27FC236}">
              <a16:creationId xmlns:a16="http://schemas.microsoft.com/office/drawing/2014/main" id="{00000000-0008-0000-0C00-00001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8" name="CustomShape 1">
          <a:extLst>
            <a:ext uri="{FF2B5EF4-FFF2-40B4-BE49-F238E27FC236}">
              <a16:creationId xmlns:a16="http://schemas.microsoft.com/office/drawing/2014/main" id="{00000000-0008-0000-0C00-00001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9" name="CustomShape 1">
          <a:extLst>
            <a:ext uri="{FF2B5EF4-FFF2-40B4-BE49-F238E27FC236}">
              <a16:creationId xmlns:a16="http://schemas.microsoft.com/office/drawing/2014/main" id="{00000000-0008-0000-0C00-00001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0" name="CustomShape 1">
          <a:extLst>
            <a:ext uri="{FF2B5EF4-FFF2-40B4-BE49-F238E27FC236}">
              <a16:creationId xmlns:a16="http://schemas.microsoft.com/office/drawing/2014/main" id="{00000000-0008-0000-0C00-00001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1" name="CustomShape 1">
          <a:extLst>
            <a:ext uri="{FF2B5EF4-FFF2-40B4-BE49-F238E27FC236}">
              <a16:creationId xmlns:a16="http://schemas.microsoft.com/office/drawing/2014/main" id="{00000000-0008-0000-0C00-00001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2" name="CustomShape 1">
          <a:extLst>
            <a:ext uri="{FF2B5EF4-FFF2-40B4-BE49-F238E27FC236}">
              <a16:creationId xmlns:a16="http://schemas.microsoft.com/office/drawing/2014/main" id="{00000000-0008-0000-0C00-00001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3" name="CustomShape 1">
          <a:extLst>
            <a:ext uri="{FF2B5EF4-FFF2-40B4-BE49-F238E27FC236}">
              <a16:creationId xmlns:a16="http://schemas.microsoft.com/office/drawing/2014/main" id="{00000000-0008-0000-0C00-00001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4" name="CustomShape 1">
          <a:extLst>
            <a:ext uri="{FF2B5EF4-FFF2-40B4-BE49-F238E27FC236}">
              <a16:creationId xmlns:a16="http://schemas.microsoft.com/office/drawing/2014/main" id="{00000000-0008-0000-0C00-00001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5" name="CustomShape 1">
          <a:extLst>
            <a:ext uri="{FF2B5EF4-FFF2-40B4-BE49-F238E27FC236}">
              <a16:creationId xmlns:a16="http://schemas.microsoft.com/office/drawing/2014/main" id="{00000000-0008-0000-0C00-00001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6" name="CustomShape 1">
          <a:extLst>
            <a:ext uri="{FF2B5EF4-FFF2-40B4-BE49-F238E27FC236}">
              <a16:creationId xmlns:a16="http://schemas.microsoft.com/office/drawing/2014/main" id="{00000000-0008-0000-0C00-00001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7" name="CustomShape 1">
          <a:extLst>
            <a:ext uri="{FF2B5EF4-FFF2-40B4-BE49-F238E27FC236}">
              <a16:creationId xmlns:a16="http://schemas.microsoft.com/office/drawing/2014/main" id="{00000000-0008-0000-0C00-00001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8" name="CustomShape 1">
          <a:extLst>
            <a:ext uri="{FF2B5EF4-FFF2-40B4-BE49-F238E27FC236}">
              <a16:creationId xmlns:a16="http://schemas.microsoft.com/office/drawing/2014/main" id="{00000000-0008-0000-0C00-00001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29" name="CustomShape 1">
          <a:extLst>
            <a:ext uri="{FF2B5EF4-FFF2-40B4-BE49-F238E27FC236}">
              <a16:creationId xmlns:a16="http://schemas.microsoft.com/office/drawing/2014/main" id="{00000000-0008-0000-0C00-00001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0" name="CustomShape 1">
          <a:extLst>
            <a:ext uri="{FF2B5EF4-FFF2-40B4-BE49-F238E27FC236}">
              <a16:creationId xmlns:a16="http://schemas.microsoft.com/office/drawing/2014/main" id="{00000000-0008-0000-0C00-00001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1" name="CustomShape 1">
          <a:extLst>
            <a:ext uri="{FF2B5EF4-FFF2-40B4-BE49-F238E27FC236}">
              <a16:creationId xmlns:a16="http://schemas.microsoft.com/office/drawing/2014/main" id="{00000000-0008-0000-0C00-00001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2" name="CustomShape 1">
          <a:extLst>
            <a:ext uri="{FF2B5EF4-FFF2-40B4-BE49-F238E27FC236}">
              <a16:creationId xmlns:a16="http://schemas.microsoft.com/office/drawing/2014/main" id="{00000000-0008-0000-0C00-00002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3" name="CustomShape 1">
          <a:extLst>
            <a:ext uri="{FF2B5EF4-FFF2-40B4-BE49-F238E27FC236}">
              <a16:creationId xmlns:a16="http://schemas.microsoft.com/office/drawing/2014/main" id="{00000000-0008-0000-0C00-00002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4" name="CustomShape 1">
          <a:extLst>
            <a:ext uri="{FF2B5EF4-FFF2-40B4-BE49-F238E27FC236}">
              <a16:creationId xmlns:a16="http://schemas.microsoft.com/office/drawing/2014/main" id="{00000000-0008-0000-0C00-00002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5" name="CustomShape 1">
          <a:extLst>
            <a:ext uri="{FF2B5EF4-FFF2-40B4-BE49-F238E27FC236}">
              <a16:creationId xmlns:a16="http://schemas.microsoft.com/office/drawing/2014/main" id="{00000000-0008-0000-0C00-00002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6" name="CustomShape 1">
          <a:extLst>
            <a:ext uri="{FF2B5EF4-FFF2-40B4-BE49-F238E27FC236}">
              <a16:creationId xmlns:a16="http://schemas.microsoft.com/office/drawing/2014/main" id="{00000000-0008-0000-0C00-00002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7" name="CustomShape 1">
          <a:extLst>
            <a:ext uri="{FF2B5EF4-FFF2-40B4-BE49-F238E27FC236}">
              <a16:creationId xmlns:a16="http://schemas.microsoft.com/office/drawing/2014/main" id="{00000000-0008-0000-0C00-00002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8" name="CustomShape 1">
          <a:extLst>
            <a:ext uri="{FF2B5EF4-FFF2-40B4-BE49-F238E27FC236}">
              <a16:creationId xmlns:a16="http://schemas.microsoft.com/office/drawing/2014/main" id="{00000000-0008-0000-0C00-00002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39" name="CustomShape 1">
          <a:extLst>
            <a:ext uri="{FF2B5EF4-FFF2-40B4-BE49-F238E27FC236}">
              <a16:creationId xmlns:a16="http://schemas.microsoft.com/office/drawing/2014/main" id="{00000000-0008-0000-0C00-00002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0" name="CustomShape 1">
          <a:extLst>
            <a:ext uri="{FF2B5EF4-FFF2-40B4-BE49-F238E27FC236}">
              <a16:creationId xmlns:a16="http://schemas.microsoft.com/office/drawing/2014/main" id="{00000000-0008-0000-0C00-00002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1" name="CustomShape 1">
          <a:extLst>
            <a:ext uri="{FF2B5EF4-FFF2-40B4-BE49-F238E27FC236}">
              <a16:creationId xmlns:a16="http://schemas.microsoft.com/office/drawing/2014/main" id="{00000000-0008-0000-0C00-00002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2" name="CustomShape 1">
          <a:extLst>
            <a:ext uri="{FF2B5EF4-FFF2-40B4-BE49-F238E27FC236}">
              <a16:creationId xmlns:a16="http://schemas.microsoft.com/office/drawing/2014/main" id="{00000000-0008-0000-0C00-00002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3" name="CustomShape 1">
          <a:extLst>
            <a:ext uri="{FF2B5EF4-FFF2-40B4-BE49-F238E27FC236}">
              <a16:creationId xmlns:a16="http://schemas.microsoft.com/office/drawing/2014/main" id="{00000000-0008-0000-0C00-00002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4" name="CustomShape 1">
          <a:extLst>
            <a:ext uri="{FF2B5EF4-FFF2-40B4-BE49-F238E27FC236}">
              <a16:creationId xmlns:a16="http://schemas.microsoft.com/office/drawing/2014/main" id="{00000000-0008-0000-0C00-00002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5" name="CustomShape 1">
          <a:extLst>
            <a:ext uri="{FF2B5EF4-FFF2-40B4-BE49-F238E27FC236}">
              <a16:creationId xmlns:a16="http://schemas.microsoft.com/office/drawing/2014/main" id="{00000000-0008-0000-0C00-00002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6" name="CustomShape 1">
          <a:extLst>
            <a:ext uri="{FF2B5EF4-FFF2-40B4-BE49-F238E27FC236}">
              <a16:creationId xmlns:a16="http://schemas.microsoft.com/office/drawing/2014/main" id="{00000000-0008-0000-0C00-00002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7" name="CustomShape 1">
          <a:extLst>
            <a:ext uri="{FF2B5EF4-FFF2-40B4-BE49-F238E27FC236}">
              <a16:creationId xmlns:a16="http://schemas.microsoft.com/office/drawing/2014/main" id="{00000000-0008-0000-0C00-00002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8" name="CustomShape 1">
          <a:extLst>
            <a:ext uri="{FF2B5EF4-FFF2-40B4-BE49-F238E27FC236}">
              <a16:creationId xmlns:a16="http://schemas.microsoft.com/office/drawing/2014/main" id="{00000000-0008-0000-0C00-00003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49" name="CustomShape 1">
          <a:extLst>
            <a:ext uri="{FF2B5EF4-FFF2-40B4-BE49-F238E27FC236}">
              <a16:creationId xmlns:a16="http://schemas.microsoft.com/office/drawing/2014/main" id="{00000000-0008-0000-0C00-00003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0" name="CustomShape 1">
          <a:extLst>
            <a:ext uri="{FF2B5EF4-FFF2-40B4-BE49-F238E27FC236}">
              <a16:creationId xmlns:a16="http://schemas.microsoft.com/office/drawing/2014/main" id="{00000000-0008-0000-0C00-00003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1" name="CustomShape 1">
          <a:extLst>
            <a:ext uri="{FF2B5EF4-FFF2-40B4-BE49-F238E27FC236}">
              <a16:creationId xmlns:a16="http://schemas.microsoft.com/office/drawing/2014/main" id="{00000000-0008-0000-0C00-00003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2" name="CustomShape 1">
          <a:extLst>
            <a:ext uri="{FF2B5EF4-FFF2-40B4-BE49-F238E27FC236}">
              <a16:creationId xmlns:a16="http://schemas.microsoft.com/office/drawing/2014/main" id="{00000000-0008-0000-0C00-00003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3" name="CustomShape 1">
          <a:extLst>
            <a:ext uri="{FF2B5EF4-FFF2-40B4-BE49-F238E27FC236}">
              <a16:creationId xmlns:a16="http://schemas.microsoft.com/office/drawing/2014/main" id="{00000000-0008-0000-0C00-00003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4" name="CustomShape 1">
          <a:extLst>
            <a:ext uri="{FF2B5EF4-FFF2-40B4-BE49-F238E27FC236}">
              <a16:creationId xmlns:a16="http://schemas.microsoft.com/office/drawing/2014/main" id="{00000000-0008-0000-0C00-00003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5" name="CustomShape 1">
          <a:extLst>
            <a:ext uri="{FF2B5EF4-FFF2-40B4-BE49-F238E27FC236}">
              <a16:creationId xmlns:a16="http://schemas.microsoft.com/office/drawing/2014/main" id="{00000000-0008-0000-0C00-00003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6" name="CustomShape 1">
          <a:extLst>
            <a:ext uri="{FF2B5EF4-FFF2-40B4-BE49-F238E27FC236}">
              <a16:creationId xmlns:a16="http://schemas.microsoft.com/office/drawing/2014/main" id="{00000000-0008-0000-0C00-00003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7" name="CustomShape 1">
          <a:extLst>
            <a:ext uri="{FF2B5EF4-FFF2-40B4-BE49-F238E27FC236}">
              <a16:creationId xmlns:a16="http://schemas.microsoft.com/office/drawing/2014/main" id="{00000000-0008-0000-0C00-00003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58" name="CustomShape 1">
          <a:extLst>
            <a:ext uri="{FF2B5EF4-FFF2-40B4-BE49-F238E27FC236}">
              <a16:creationId xmlns:a16="http://schemas.microsoft.com/office/drawing/2014/main" id="{00000000-0008-0000-0C00-00003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117360</xdr:colOff>
      <xdr:row>37</xdr:row>
      <xdr:rowOff>98640</xdr:rowOff>
    </xdr:from>
    <xdr:to>
      <xdr:col>4</xdr:col>
      <xdr:colOff>196920</xdr:colOff>
      <xdr:row>39</xdr:row>
      <xdr:rowOff>49320</xdr:rowOff>
    </xdr:to>
    <xdr:sp macro="" textlink="">
      <xdr:nvSpPr>
        <xdr:cNvPr id="59" name="CustomShape 1">
          <a:extLst>
            <a:ext uri="{FF2B5EF4-FFF2-40B4-BE49-F238E27FC236}">
              <a16:creationId xmlns:a16="http://schemas.microsoft.com/office/drawing/2014/main" id="{00000000-0008-0000-0C00-00003B000000}"/>
            </a:ext>
          </a:extLst>
        </xdr:cNvPr>
        <xdr:cNvSpPr/>
      </xdr:nvSpPr>
      <xdr:spPr>
        <a:xfrm>
          <a:off x="4498560" y="7181280"/>
          <a:ext cx="7956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0" name="CustomShape 1">
          <a:extLst>
            <a:ext uri="{FF2B5EF4-FFF2-40B4-BE49-F238E27FC236}">
              <a16:creationId xmlns:a16="http://schemas.microsoft.com/office/drawing/2014/main" id="{00000000-0008-0000-0C00-00003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1" name="CustomShape 1">
          <a:extLst>
            <a:ext uri="{FF2B5EF4-FFF2-40B4-BE49-F238E27FC236}">
              <a16:creationId xmlns:a16="http://schemas.microsoft.com/office/drawing/2014/main" id="{00000000-0008-0000-0C00-00003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2" name="CustomShape 1">
          <a:extLst>
            <a:ext uri="{FF2B5EF4-FFF2-40B4-BE49-F238E27FC236}">
              <a16:creationId xmlns:a16="http://schemas.microsoft.com/office/drawing/2014/main" id="{00000000-0008-0000-0C00-00003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3" name="CustomShape 1">
          <a:extLst>
            <a:ext uri="{FF2B5EF4-FFF2-40B4-BE49-F238E27FC236}">
              <a16:creationId xmlns:a16="http://schemas.microsoft.com/office/drawing/2014/main" id="{00000000-0008-0000-0C00-00003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4" name="CustomShape 1">
          <a:extLst>
            <a:ext uri="{FF2B5EF4-FFF2-40B4-BE49-F238E27FC236}">
              <a16:creationId xmlns:a16="http://schemas.microsoft.com/office/drawing/2014/main" id="{00000000-0008-0000-0C00-00004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5" name="CustomShape 1">
          <a:extLst>
            <a:ext uri="{FF2B5EF4-FFF2-40B4-BE49-F238E27FC236}">
              <a16:creationId xmlns:a16="http://schemas.microsoft.com/office/drawing/2014/main" id="{00000000-0008-0000-0C00-00004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6" name="CustomShape 1">
          <a:extLst>
            <a:ext uri="{FF2B5EF4-FFF2-40B4-BE49-F238E27FC236}">
              <a16:creationId xmlns:a16="http://schemas.microsoft.com/office/drawing/2014/main" id="{00000000-0008-0000-0C00-00004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7" name="CustomShape 1">
          <a:extLst>
            <a:ext uri="{FF2B5EF4-FFF2-40B4-BE49-F238E27FC236}">
              <a16:creationId xmlns:a16="http://schemas.microsoft.com/office/drawing/2014/main" id="{00000000-0008-0000-0C00-00004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41400</xdr:colOff>
      <xdr:row>37</xdr:row>
      <xdr:rowOff>98640</xdr:rowOff>
    </xdr:from>
    <xdr:to>
      <xdr:col>4</xdr:col>
      <xdr:colOff>87480</xdr:colOff>
      <xdr:row>39</xdr:row>
      <xdr:rowOff>49320</xdr:rowOff>
    </xdr:to>
    <xdr:sp macro="" textlink="">
      <xdr:nvSpPr>
        <xdr:cNvPr id="68" name="CustomShape 1">
          <a:extLst>
            <a:ext uri="{FF2B5EF4-FFF2-40B4-BE49-F238E27FC236}">
              <a16:creationId xmlns:a16="http://schemas.microsoft.com/office/drawing/2014/main" id="{00000000-0008-0000-0C00-000044000000}"/>
            </a:ext>
          </a:extLst>
        </xdr:cNvPr>
        <xdr:cNvSpPr/>
      </xdr:nvSpPr>
      <xdr:spPr>
        <a:xfrm>
          <a:off x="4422600" y="7181280"/>
          <a:ext cx="460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69" name="CustomShape 1">
          <a:extLst>
            <a:ext uri="{FF2B5EF4-FFF2-40B4-BE49-F238E27FC236}">
              <a16:creationId xmlns:a16="http://schemas.microsoft.com/office/drawing/2014/main" id="{00000000-0008-0000-0C00-00004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0" name="CustomShape 1">
          <a:extLst>
            <a:ext uri="{FF2B5EF4-FFF2-40B4-BE49-F238E27FC236}">
              <a16:creationId xmlns:a16="http://schemas.microsoft.com/office/drawing/2014/main" id="{00000000-0008-0000-0C00-00004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1" name="CustomShape 1">
          <a:extLst>
            <a:ext uri="{FF2B5EF4-FFF2-40B4-BE49-F238E27FC236}">
              <a16:creationId xmlns:a16="http://schemas.microsoft.com/office/drawing/2014/main" id="{00000000-0008-0000-0C00-00004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2" name="CustomShape 1">
          <a:extLst>
            <a:ext uri="{FF2B5EF4-FFF2-40B4-BE49-F238E27FC236}">
              <a16:creationId xmlns:a16="http://schemas.microsoft.com/office/drawing/2014/main" id="{00000000-0008-0000-0C00-00004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3" name="CustomShape 1">
          <a:extLst>
            <a:ext uri="{FF2B5EF4-FFF2-40B4-BE49-F238E27FC236}">
              <a16:creationId xmlns:a16="http://schemas.microsoft.com/office/drawing/2014/main" id="{00000000-0008-0000-0C00-00004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4" name="CustomShape 1">
          <a:extLst>
            <a:ext uri="{FF2B5EF4-FFF2-40B4-BE49-F238E27FC236}">
              <a16:creationId xmlns:a16="http://schemas.microsoft.com/office/drawing/2014/main" id="{00000000-0008-0000-0C00-00004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5" name="CustomShape 1">
          <a:extLst>
            <a:ext uri="{FF2B5EF4-FFF2-40B4-BE49-F238E27FC236}">
              <a16:creationId xmlns:a16="http://schemas.microsoft.com/office/drawing/2014/main" id="{00000000-0008-0000-0C00-00004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6" name="CustomShape 1">
          <a:extLst>
            <a:ext uri="{FF2B5EF4-FFF2-40B4-BE49-F238E27FC236}">
              <a16:creationId xmlns:a16="http://schemas.microsoft.com/office/drawing/2014/main" id="{00000000-0008-0000-0C00-00004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7" name="CustomShape 1">
          <a:extLst>
            <a:ext uri="{FF2B5EF4-FFF2-40B4-BE49-F238E27FC236}">
              <a16:creationId xmlns:a16="http://schemas.microsoft.com/office/drawing/2014/main" id="{00000000-0008-0000-0C00-00004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8" name="CustomShape 1">
          <a:extLst>
            <a:ext uri="{FF2B5EF4-FFF2-40B4-BE49-F238E27FC236}">
              <a16:creationId xmlns:a16="http://schemas.microsoft.com/office/drawing/2014/main" id="{00000000-0008-0000-0C00-00004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79" name="CustomShape 1">
          <a:extLst>
            <a:ext uri="{FF2B5EF4-FFF2-40B4-BE49-F238E27FC236}">
              <a16:creationId xmlns:a16="http://schemas.microsoft.com/office/drawing/2014/main" id="{00000000-0008-0000-0C00-00004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0" name="CustomShape 1">
          <a:extLst>
            <a:ext uri="{FF2B5EF4-FFF2-40B4-BE49-F238E27FC236}">
              <a16:creationId xmlns:a16="http://schemas.microsoft.com/office/drawing/2014/main" id="{00000000-0008-0000-0C00-00005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1" name="CustomShape 1">
          <a:extLst>
            <a:ext uri="{FF2B5EF4-FFF2-40B4-BE49-F238E27FC236}">
              <a16:creationId xmlns:a16="http://schemas.microsoft.com/office/drawing/2014/main" id="{00000000-0008-0000-0C00-00005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2" name="CustomShape 1">
          <a:extLst>
            <a:ext uri="{FF2B5EF4-FFF2-40B4-BE49-F238E27FC236}">
              <a16:creationId xmlns:a16="http://schemas.microsoft.com/office/drawing/2014/main" id="{00000000-0008-0000-0C00-00005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3" name="CustomShape 1">
          <a:extLst>
            <a:ext uri="{FF2B5EF4-FFF2-40B4-BE49-F238E27FC236}">
              <a16:creationId xmlns:a16="http://schemas.microsoft.com/office/drawing/2014/main" id="{00000000-0008-0000-0C00-00005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4" name="CustomShape 1">
          <a:extLst>
            <a:ext uri="{FF2B5EF4-FFF2-40B4-BE49-F238E27FC236}">
              <a16:creationId xmlns:a16="http://schemas.microsoft.com/office/drawing/2014/main" id="{00000000-0008-0000-0C00-00005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5" name="CustomShape 1">
          <a:extLst>
            <a:ext uri="{FF2B5EF4-FFF2-40B4-BE49-F238E27FC236}">
              <a16:creationId xmlns:a16="http://schemas.microsoft.com/office/drawing/2014/main" id="{00000000-0008-0000-0C00-00005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6" name="CustomShape 1">
          <a:extLst>
            <a:ext uri="{FF2B5EF4-FFF2-40B4-BE49-F238E27FC236}">
              <a16:creationId xmlns:a16="http://schemas.microsoft.com/office/drawing/2014/main" id="{00000000-0008-0000-0C00-00005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7" name="CustomShape 1">
          <a:extLst>
            <a:ext uri="{FF2B5EF4-FFF2-40B4-BE49-F238E27FC236}">
              <a16:creationId xmlns:a16="http://schemas.microsoft.com/office/drawing/2014/main" id="{00000000-0008-0000-0C00-00005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8" name="CustomShape 1">
          <a:extLst>
            <a:ext uri="{FF2B5EF4-FFF2-40B4-BE49-F238E27FC236}">
              <a16:creationId xmlns:a16="http://schemas.microsoft.com/office/drawing/2014/main" id="{00000000-0008-0000-0C00-00005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89" name="CustomShape 1">
          <a:extLst>
            <a:ext uri="{FF2B5EF4-FFF2-40B4-BE49-F238E27FC236}">
              <a16:creationId xmlns:a16="http://schemas.microsoft.com/office/drawing/2014/main" id="{00000000-0008-0000-0C00-00005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0" name="CustomShape 1">
          <a:extLst>
            <a:ext uri="{FF2B5EF4-FFF2-40B4-BE49-F238E27FC236}">
              <a16:creationId xmlns:a16="http://schemas.microsoft.com/office/drawing/2014/main" id="{00000000-0008-0000-0C00-00005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1" name="CustomShape 1">
          <a:extLst>
            <a:ext uri="{FF2B5EF4-FFF2-40B4-BE49-F238E27FC236}">
              <a16:creationId xmlns:a16="http://schemas.microsoft.com/office/drawing/2014/main" id="{00000000-0008-0000-0C00-00005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2" name="CustomShape 1">
          <a:extLst>
            <a:ext uri="{FF2B5EF4-FFF2-40B4-BE49-F238E27FC236}">
              <a16:creationId xmlns:a16="http://schemas.microsoft.com/office/drawing/2014/main" id="{00000000-0008-0000-0C00-00005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3" name="CustomShape 1">
          <a:extLst>
            <a:ext uri="{FF2B5EF4-FFF2-40B4-BE49-F238E27FC236}">
              <a16:creationId xmlns:a16="http://schemas.microsoft.com/office/drawing/2014/main" id="{00000000-0008-0000-0C00-00005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4" name="CustomShape 1">
          <a:extLst>
            <a:ext uri="{FF2B5EF4-FFF2-40B4-BE49-F238E27FC236}">
              <a16:creationId xmlns:a16="http://schemas.microsoft.com/office/drawing/2014/main" id="{00000000-0008-0000-0C00-00005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5" name="CustomShape 1">
          <a:extLst>
            <a:ext uri="{FF2B5EF4-FFF2-40B4-BE49-F238E27FC236}">
              <a16:creationId xmlns:a16="http://schemas.microsoft.com/office/drawing/2014/main" id="{00000000-0008-0000-0C00-00005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6" name="CustomShape 1">
          <a:extLst>
            <a:ext uri="{FF2B5EF4-FFF2-40B4-BE49-F238E27FC236}">
              <a16:creationId xmlns:a16="http://schemas.microsoft.com/office/drawing/2014/main" id="{00000000-0008-0000-0C00-00006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7" name="CustomShape 1">
          <a:extLst>
            <a:ext uri="{FF2B5EF4-FFF2-40B4-BE49-F238E27FC236}">
              <a16:creationId xmlns:a16="http://schemas.microsoft.com/office/drawing/2014/main" id="{00000000-0008-0000-0C00-00006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8" name="CustomShape 1">
          <a:extLst>
            <a:ext uri="{FF2B5EF4-FFF2-40B4-BE49-F238E27FC236}">
              <a16:creationId xmlns:a16="http://schemas.microsoft.com/office/drawing/2014/main" id="{00000000-0008-0000-0C00-00006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99" name="CustomShape 1">
          <a:extLst>
            <a:ext uri="{FF2B5EF4-FFF2-40B4-BE49-F238E27FC236}">
              <a16:creationId xmlns:a16="http://schemas.microsoft.com/office/drawing/2014/main" id="{00000000-0008-0000-0C00-00006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0" name="CustomShape 1">
          <a:extLst>
            <a:ext uri="{FF2B5EF4-FFF2-40B4-BE49-F238E27FC236}">
              <a16:creationId xmlns:a16="http://schemas.microsoft.com/office/drawing/2014/main" id="{00000000-0008-0000-0C00-00006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1" name="CustomShape 1">
          <a:extLst>
            <a:ext uri="{FF2B5EF4-FFF2-40B4-BE49-F238E27FC236}">
              <a16:creationId xmlns:a16="http://schemas.microsoft.com/office/drawing/2014/main" id="{00000000-0008-0000-0C00-00006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2" name="CustomShape 1">
          <a:extLst>
            <a:ext uri="{FF2B5EF4-FFF2-40B4-BE49-F238E27FC236}">
              <a16:creationId xmlns:a16="http://schemas.microsoft.com/office/drawing/2014/main" id="{00000000-0008-0000-0C00-00006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3" name="CustomShape 1">
          <a:extLst>
            <a:ext uri="{FF2B5EF4-FFF2-40B4-BE49-F238E27FC236}">
              <a16:creationId xmlns:a16="http://schemas.microsoft.com/office/drawing/2014/main" id="{00000000-0008-0000-0C00-00006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4" name="CustomShape 1">
          <a:extLst>
            <a:ext uri="{FF2B5EF4-FFF2-40B4-BE49-F238E27FC236}">
              <a16:creationId xmlns:a16="http://schemas.microsoft.com/office/drawing/2014/main" id="{00000000-0008-0000-0C00-00006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5" name="CustomShape 1">
          <a:extLst>
            <a:ext uri="{FF2B5EF4-FFF2-40B4-BE49-F238E27FC236}">
              <a16:creationId xmlns:a16="http://schemas.microsoft.com/office/drawing/2014/main" id="{00000000-0008-0000-0C00-00006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6" name="CustomShape 1">
          <a:extLst>
            <a:ext uri="{FF2B5EF4-FFF2-40B4-BE49-F238E27FC236}">
              <a16:creationId xmlns:a16="http://schemas.microsoft.com/office/drawing/2014/main" id="{00000000-0008-0000-0C00-00006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7" name="CustomShape 1">
          <a:extLst>
            <a:ext uri="{FF2B5EF4-FFF2-40B4-BE49-F238E27FC236}">
              <a16:creationId xmlns:a16="http://schemas.microsoft.com/office/drawing/2014/main" id="{00000000-0008-0000-0C00-00006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8" name="CustomShape 1">
          <a:extLst>
            <a:ext uri="{FF2B5EF4-FFF2-40B4-BE49-F238E27FC236}">
              <a16:creationId xmlns:a16="http://schemas.microsoft.com/office/drawing/2014/main" id="{00000000-0008-0000-0C00-00006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09" name="CustomShape 1">
          <a:extLst>
            <a:ext uri="{FF2B5EF4-FFF2-40B4-BE49-F238E27FC236}">
              <a16:creationId xmlns:a16="http://schemas.microsoft.com/office/drawing/2014/main" id="{00000000-0008-0000-0C00-00006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0" name="CustomShape 1">
          <a:extLst>
            <a:ext uri="{FF2B5EF4-FFF2-40B4-BE49-F238E27FC236}">
              <a16:creationId xmlns:a16="http://schemas.microsoft.com/office/drawing/2014/main" id="{00000000-0008-0000-0C00-00006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1" name="CustomShape 1">
          <a:extLst>
            <a:ext uri="{FF2B5EF4-FFF2-40B4-BE49-F238E27FC236}">
              <a16:creationId xmlns:a16="http://schemas.microsoft.com/office/drawing/2014/main" id="{00000000-0008-0000-0C00-00006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2" name="CustomShape 1">
          <a:extLst>
            <a:ext uri="{FF2B5EF4-FFF2-40B4-BE49-F238E27FC236}">
              <a16:creationId xmlns:a16="http://schemas.microsoft.com/office/drawing/2014/main" id="{00000000-0008-0000-0C00-00007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3" name="CustomShape 1">
          <a:extLst>
            <a:ext uri="{FF2B5EF4-FFF2-40B4-BE49-F238E27FC236}">
              <a16:creationId xmlns:a16="http://schemas.microsoft.com/office/drawing/2014/main" id="{00000000-0008-0000-0C00-00007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4" name="CustomShape 1">
          <a:extLst>
            <a:ext uri="{FF2B5EF4-FFF2-40B4-BE49-F238E27FC236}">
              <a16:creationId xmlns:a16="http://schemas.microsoft.com/office/drawing/2014/main" id="{00000000-0008-0000-0C00-00007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5" name="CustomShape 1">
          <a:extLst>
            <a:ext uri="{FF2B5EF4-FFF2-40B4-BE49-F238E27FC236}">
              <a16:creationId xmlns:a16="http://schemas.microsoft.com/office/drawing/2014/main" id="{00000000-0008-0000-0C00-00007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6" name="CustomShape 1">
          <a:extLst>
            <a:ext uri="{FF2B5EF4-FFF2-40B4-BE49-F238E27FC236}">
              <a16:creationId xmlns:a16="http://schemas.microsoft.com/office/drawing/2014/main" id="{00000000-0008-0000-0C00-00007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7" name="CustomShape 1">
          <a:extLst>
            <a:ext uri="{FF2B5EF4-FFF2-40B4-BE49-F238E27FC236}">
              <a16:creationId xmlns:a16="http://schemas.microsoft.com/office/drawing/2014/main" id="{00000000-0008-0000-0C00-00007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8" name="CustomShape 1">
          <a:extLst>
            <a:ext uri="{FF2B5EF4-FFF2-40B4-BE49-F238E27FC236}">
              <a16:creationId xmlns:a16="http://schemas.microsoft.com/office/drawing/2014/main" id="{00000000-0008-0000-0C00-00007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19" name="CustomShape 1">
          <a:extLst>
            <a:ext uri="{FF2B5EF4-FFF2-40B4-BE49-F238E27FC236}">
              <a16:creationId xmlns:a16="http://schemas.microsoft.com/office/drawing/2014/main" id="{00000000-0008-0000-0C00-00007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0" name="CustomShape 1">
          <a:extLst>
            <a:ext uri="{FF2B5EF4-FFF2-40B4-BE49-F238E27FC236}">
              <a16:creationId xmlns:a16="http://schemas.microsoft.com/office/drawing/2014/main" id="{00000000-0008-0000-0C00-00007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1" name="CustomShape 1">
          <a:extLst>
            <a:ext uri="{FF2B5EF4-FFF2-40B4-BE49-F238E27FC236}">
              <a16:creationId xmlns:a16="http://schemas.microsoft.com/office/drawing/2014/main" id="{00000000-0008-0000-0C00-00007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2" name="CustomShape 1">
          <a:extLst>
            <a:ext uri="{FF2B5EF4-FFF2-40B4-BE49-F238E27FC236}">
              <a16:creationId xmlns:a16="http://schemas.microsoft.com/office/drawing/2014/main" id="{00000000-0008-0000-0C00-00007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3" name="CustomShape 1">
          <a:extLst>
            <a:ext uri="{FF2B5EF4-FFF2-40B4-BE49-F238E27FC236}">
              <a16:creationId xmlns:a16="http://schemas.microsoft.com/office/drawing/2014/main" id="{00000000-0008-0000-0C00-00007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4" name="CustomShape 1">
          <a:extLst>
            <a:ext uri="{FF2B5EF4-FFF2-40B4-BE49-F238E27FC236}">
              <a16:creationId xmlns:a16="http://schemas.microsoft.com/office/drawing/2014/main" id="{00000000-0008-0000-0C00-00007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5" name="CustomShape 1">
          <a:extLst>
            <a:ext uri="{FF2B5EF4-FFF2-40B4-BE49-F238E27FC236}">
              <a16:creationId xmlns:a16="http://schemas.microsoft.com/office/drawing/2014/main" id="{00000000-0008-0000-0C00-00007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6" name="CustomShape 1">
          <a:extLst>
            <a:ext uri="{FF2B5EF4-FFF2-40B4-BE49-F238E27FC236}">
              <a16:creationId xmlns:a16="http://schemas.microsoft.com/office/drawing/2014/main" id="{00000000-0008-0000-0C00-00007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7" name="CustomShape 1">
          <a:extLst>
            <a:ext uri="{FF2B5EF4-FFF2-40B4-BE49-F238E27FC236}">
              <a16:creationId xmlns:a16="http://schemas.microsoft.com/office/drawing/2014/main" id="{00000000-0008-0000-0C00-00007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8" name="CustomShape 1">
          <a:extLst>
            <a:ext uri="{FF2B5EF4-FFF2-40B4-BE49-F238E27FC236}">
              <a16:creationId xmlns:a16="http://schemas.microsoft.com/office/drawing/2014/main" id="{00000000-0008-0000-0C00-00008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29" name="CustomShape 1">
          <a:extLst>
            <a:ext uri="{FF2B5EF4-FFF2-40B4-BE49-F238E27FC236}">
              <a16:creationId xmlns:a16="http://schemas.microsoft.com/office/drawing/2014/main" id="{00000000-0008-0000-0C00-00008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0" name="CustomShape 1">
          <a:extLst>
            <a:ext uri="{FF2B5EF4-FFF2-40B4-BE49-F238E27FC236}">
              <a16:creationId xmlns:a16="http://schemas.microsoft.com/office/drawing/2014/main" id="{00000000-0008-0000-0C00-00008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1" name="CustomShape 1">
          <a:extLst>
            <a:ext uri="{FF2B5EF4-FFF2-40B4-BE49-F238E27FC236}">
              <a16:creationId xmlns:a16="http://schemas.microsoft.com/office/drawing/2014/main" id="{00000000-0008-0000-0C00-00008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2" name="CustomShape 1">
          <a:extLst>
            <a:ext uri="{FF2B5EF4-FFF2-40B4-BE49-F238E27FC236}">
              <a16:creationId xmlns:a16="http://schemas.microsoft.com/office/drawing/2014/main" id="{00000000-0008-0000-0C00-00008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3" name="CustomShape 1">
          <a:extLst>
            <a:ext uri="{FF2B5EF4-FFF2-40B4-BE49-F238E27FC236}">
              <a16:creationId xmlns:a16="http://schemas.microsoft.com/office/drawing/2014/main" id="{00000000-0008-0000-0C00-00008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4" name="CustomShape 1">
          <a:extLst>
            <a:ext uri="{FF2B5EF4-FFF2-40B4-BE49-F238E27FC236}">
              <a16:creationId xmlns:a16="http://schemas.microsoft.com/office/drawing/2014/main" id="{00000000-0008-0000-0C00-00008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5" name="CustomShape 1">
          <a:extLst>
            <a:ext uri="{FF2B5EF4-FFF2-40B4-BE49-F238E27FC236}">
              <a16:creationId xmlns:a16="http://schemas.microsoft.com/office/drawing/2014/main" id="{00000000-0008-0000-0C00-00008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6" name="CustomShape 1">
          <a:extLst>
            <a:ext uri="{FF2B5EF4-FFF2-40B4-BE49-F238E27FC236}">
              <a16:creationId xmlns:a16="http://schemas.microsoft.com/office/drawing/2014/main" id="{00000000-0008-0000-0C00-00008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7" name="CustomShape 1">
          <a:extLst>
            <a:ext uri="{FF2B5EF4-FFF2-40B4-BE49-F238E27FC236}">
              <a16:creationId xmlns:a16="http://schemas.microsoft.com/office/drawing/2014/main" id="{00000000-0008-0000-0C00-00008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38" name="CustomShape 1">
          <a:extLst>
            <a:ext uri="{FF2B5EF4-FFF2-40B4-BE49-F238E27FC236}">
              <a16:creationId xmlns:a16="http://schemas.microsoft.com/office/drawing/2014/main" id="{00000000-0008-0000-0C00-00008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117360</xdr:colOff>
      <xdr:row>37</xdr:row>
      <xdr:rowOff>98640</xdr:rowOff>
    </xdr:from>
    <xdr:to>
      <xdr:col>4</xdr:col>
      <xdr:colOff>196920</xdr:colOff>
      <xdr:row>39</xdr:row>
      <xdr:rowOff>49320</xdr:rowOff>
    </xdr:to>
    <xdr:sp macro="" textlink="">
      <xdr:nvSpPr>
        <xdr:cNvPr id="139" name="CustomShape 1">
          <a:extLst>
            <a:ext uri="{FF2B5EF4-FFF2-40B4-BE49-F238E27FC236}">
              <a16:creationId xmlns:a16="http://schemas.microsoft.com/office/drawing/2014/main" id="{00000000-0008-0000-0C00-00008B000000}"/>
            </a:ext>
          </a:extLst>
        </xdr:cNvPr>
        <xdr:cNvSpPr/>
      </xdr:nvSpPr>
      <xdr:spPr>
        <a:xfrm>
          <a:off x="4498560" y="7181280"/>
          <a:ext cx="7956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0" name="CustomShape 1">
          <a:extLst>
            <a:ext uri="{FF2B5EF4-FFF2-40B4-BE49-F238E27FC236}">
              <a16:creationId xmlns:a16="http://schemas.microsoft.com/office/drawing/2014/main" id="{00000000-0008-0000-0C00-00008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41400</xdr:colOff>
      <xdr:row>37</xdr:row>
      <xdr:rowOff>98640</xdr:rowOff>
    </xdr:from>
    <xdr:to>
      <xdr:col>4</xdr:col>
      <xdr:colOff>87480</xdr:colOff>
      <xdr:row>39</xdr:row>
      <xdr:rowOff>49320</xdr:rowOff>
    </xdr:to>
    <xdr:sp macro="" textlink="">
      <xdr:nvSpPr>
        <xdr:cNvPr id="141" name="CustomShape 1">
          <a:extLst>
            <a:ext uri="{FF2B5EF4-FFF2-40B4-BE49-F238E27FC236}">
              <a16:creationId xmlns:a16="http://schemas.microsoft.com/office/drawing/2014/main" id="{00000000-0008-0000-0C00-00008D000000}"/>
            </a:ext>
          </a:extLst>
        </xdr:cNvPr>
        <xdr:cNvSpPr/>
      </xdr:nvSpPr>
      <xdr:spPr>
        <a:xfrm>
          <a:off x="4422600" y="7181280"/>
          <a:ext cx="460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2" name="CustomShape 1">
          <a:extLst>
            <a:ext uri="{FF2B5EF4-FFF2-40B4-BE49-F238E27FC236}">
              <a16:creationId xmlns:a16="http://schemas.microsoft.com/office/drawing/2014/main" id="{00000000-0008-0000-0C00-00008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3" name="CustomShape 1">
          <a:extLst>
            <a:ext uri="{FF2B5EF4-FFF2-40B4-BE49-F238E27FC236}">
              <a16:creationId xmlns:a16="http://schemas.microsoft.com/office/drawing/2014/main" id="{00000000-0008-0000-0C00-00008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4" name="CustomShape 1">
          <a:extLst>
            <a:ext uri="{FF2B5EF4-FFF2-40B4-BE49-F238E27FC236}">
              <a16:creationId xmlns:a16="http://schemas.microsoft.com/office/drawing/2014/main" id="{00000000-0008-0000-0C00-00009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5" name="CustomShape 1">
          <a:extLst>
            <a:ext uri="{FF2B5EF4-FFF2-40B4-BE49-F238E27FC236}">
              <a16:creationId xmlns:a16="http://schemas.microsoft.com/office/drawing/2014/main" id="{00000000-0008-0000-0C00-00009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6" name="CustomShape 1">
          <a:extLst>
            <a:ext uri="{FF2B5EF4-FFF2-40B4-BE49-F238E27FC236}">
              <a16:creationId xmlns:a16="http://schemas.microsoft.com/office/drawing/2014/main" id="{00000000-0008-0000-0C00-00009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7" name="CustomShape 1">
          <a:extLst>
            <a:ext uri="{FF2B5EF4-FFF2-40B4-BE49-F238E27FC236}">
              <a16:creationId xmlns:a16="http://schemas.microsoft.com/office/drawing/2014/main" id="{00000000-0008-0000-0C00-00009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8" name="CustomShape 1">
          <a:extLst>
            <a:ext uri="{FF2B5EF4-FFF2-40B4-BE49-F238E27FC236}">
              <a16:creationId xmlns:a16="http://schemas.microsoft.com/office/drawing/2014/main" id="{00000000-0008-0000-0C00-00009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49" name="CustomShape 1">
          <a:extLst>
            <a:ext uri="{FF2B5EF4-FFF2-40B4-BE49-F238E27FC236}">
              <a16:creationId xmlns:a16="http://schemas.microsoft.com/office/drawing/2014/main" id="{00000000-0008-0000-0C00-00009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0" name="CustomShape 1">
          <a:extLst>
            <a:ext uri="{FF2B5EF4-FFF2-40B4-BE49-F238E27FC236}">
              <a16:creationId xmlns:a16="http://schemas.microsoft.com/office/drawing/2014/main" id="{00000000-0008-0000-0C00-00009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1" name="CustomShape 1">
          <a:extLst>
            <a:ext uri="{FF2B5EF4-FFF2-40B4-BE49-F238E27FC236}">
              <a16:creationId xmlns:a16="http://schemas.microsoft.com/office/drawing/2014/main" id="{00000000-0008-0000-0C00-00009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2" name="CustomShape 1">
          <a:extLst>
            <a:ext uri="{FF2B5EF4-FFF2-40B4-BE49-F238E27FC236}">
              <a16:creationId xmlns:a16="http://schemas.microsoft.com/office/drawing/2014/main" id="{00000000-0008-0000-0C00-00009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3" name="CustomShape 1">
          <a:extLst>
            <a:ext uri="{FF2B5EF4-FFF2-40B4-BE49-F238E27FC236}">
              <a16:creationId xmlns:a16="http://schemas.microsoft.com/office/drawing/2014/main" id="{00000000-0008-0000-0C00-000099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4" name="CustomShape 1">
          <a:extLst>
            <a:ext uri="{FF2B5EF4-FFF2-40B4-BE49-F238E27FC236}">
              <a16:creationId xmlns:a16="http://schemas.microsoft.com/office/drawing/2014/main" id="{00000000-0008-0000-0C00-00009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5" name="CustomShape 1">
          <a:extLst>
            <a:ext uri="{FF2B5EF4-FFF2-40B4-BE49-F238E27FC236}">
              <a16:creationId xmlns:a16="http://schemas.microsoft.com/office/drawing/2014/main" id="{00000000-0008-0000-0C00-00009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6" name="CustomShape 1">
          <a:extLst>
            <a:ext uri="{FF2B5EF4-FFF2-40B4-BE49-F238E27FC236}">
              <a16:creationId xmlns:a16="http://schemas.microsoft.com/office/drawing/2014/main" id="{00000000-0008-0000-0C00-00009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7" name="CustomShape 1">
          <a:extLst>
            <a:ext uri="{FF2B5EF4-FFF2-40B4-BE49-F238E27FC236}">
              <a16:creationId xmlns:a16="http://schemas.microsoft.com/office/drawing/2014/main" id="{00000000-0008-0000-0C00-00009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8" name="CustomShape 1">
          <a:extLst>
            <a:ext uri="{FF2B5EF4-FFF2-40B4-BE49-F238E27FC236}">
              <a16:creationId xmlns:a16="http://schemas.microsoft.com/office/drawing/2014/main" id="{00000000-0008-0000-0C00-00009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59" name="CustomShape 1">
          <a:extLst>
            <a:ext uri="{FF2B5EF4-FFF2-40B4-BE49-F238E27FC236}">
              <a16:creationId xmlns:a16="http://schemas.microsoft.com/office/drawing/2014/main" id="{00000000-0008-0000-0C00-00009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0" name="CustomShape 1">
          <a:extLst>
            <a:ext uri="{FF2B5EF4-FFF2-40B4-BE49-F238E27FC236}">
              <a16:creationId xmlns:a16="http://schemas.microsoft.com/office/drawing/2014/main" id="{00000000-0008-0000-0C00-0000A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1" name="CustomShape 1">
          <a:extLst>
            <a:ext uri="{FF2B5EF4-FFF2-40B4-BE49-F238E27FC236}">
              <a16:creationId xmlns:a16="http://schemas.microsoft.com/office/drawing/2014/main" id="{00000000-0008-0000-0C00-0000A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2" name="CustomShape 1">
          <a:extLst>
            <a:ext uri="{FF2B5EF4-FFF2-40B4-BE49-F238E27FC236}">
              <a16:creationId xmlns:a16="http://schemas.microsoft.com/office/drawing/2014/main" id="{00000000-0008-0000-0C00-0000A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3" name="CustomShape 1">
          <a:extLst>
            <a:ext uri="{FF2B5EF4-FFF2-40B4-BE49-F238E27FC236}">
              <a16:creationId xmlns:a16="http://schemas.microsoft.com/office/drawing/2014/main" id="{00000000-0008-0000-0C00-0000A3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4" name="CustomShape 1">
          <a:extLst>
            <a:ext uri="{FF2B5EF4-FFF2-40B4-BE49-F238E27FC236}">
              <a16:creationId xmlns:a16="http://schemas.microsoft.com/office/drawing/2014/main" id="{00000000-0008-0000-0C00-0000A4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5" name="CustomShape 1">
          <a:extLst>
            <a:ext uri="{FF2B5EF4-FFF2-40B4-BE49-F238E27FC236}">
              <a16:creationId xmlns:a16="http://schemas.microsoft.com/office/drawing/2014/main" id="{00000000-0008-0000-0C00-0000A5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6" name="CustomShape 1">
          <a:extLst>
            <a:ext uri="{FF2B5EF4-FFF2-40B4-BE49-F238E27FC236}">
              <a16:creationId xmlns:a16="http://schemas.microsoft.com/office/drawing/2014/main" id="{00000000-0008-0000-0C00-0000A6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7" name="CustomShape 1">
          <a:extLst>
            <a:ext uri="{FF2B5EF4-FFF2-40B4-BE49-F238E27FC236}">
              <a16:creationId xmlns:a16="http://schemas.microsoft.com/office/drawing/2014/main" id="{00000000-0008-0000-0C00-0000A7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68" name="CustomShape 1">
          <a:extLst>
            <a:ext uri="{FF2B5EF4-FFF2-40B4-BE49-F238E27FC236}">
              <a16:creationId xmlns:a16="http://schemas.microsoft.com/office/drawing/2014/main" id="{00000000-0008-0000-0C00-0000A8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208080</xdr:colOff>
      <xdr:row>37</xdr:row>
      <xdr:rowOff>98640</xdr:rowOff>
    </xdr:from>
    <xdr:to>
      <xdr:col>3</xdr:col>
      <xdr:colOff>277920</xdr:colOff>
      <xdr:row>39</xdr:row>
      <xdr:rowOff>49320</xdr:rowOff>
    </xdr:to>
    <xdr:sp macro="" textlink="">
      <xdr:nvSpPr>
        <xdr:cNvPr id="169" name="CustomShape 1">
          <a:extLst>
            <a:ext uri="{FF2B5EF4-FFF2-40B4-BE49-F238E27FC236}">
              <a16:creationId xmlns:a16="http://schemas.microsoft.com/office/drawing/2014/main" id="{00000000-0008-0000-0C00-0000A9000000}"/>
            </a:ext>
          </a:extLst>
        </xdr:cNvPr>
        <xdr:cNvSpPr/>
      </xdr:nvSpPr>
      <xdr:spPr>
        <a:xfrm>
          <a:off x="4265640" y="7181280"/>
          <a:ext cx="6984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0" name="CustomShape 1">
          <a:extLst>
            <a:ext uri="{FF2B5EF4-FFF2-40B4-BE49-F238E27FC236}">
              <a16:creationId xmlns:a16="http://schemas.microsoft.com/office/drawing/2014/main" id="{00000000-0008-0000-0C00-0000AA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1" name="CustomShape 1">
          <a:extLst>
            <a:ext uri="{FF2B5EF4-FFF2-40B4-BE49-F238E27FC236}">
              <a16:creationId xmlns:a16="http://schemas.microsoft.com/office/drawing/2014/main" id="{00000000-0008-0000-0C00-0000AB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2" name="CustomShape 1">
          <a:extLst>
            <a:ext uri="{FF2B5EF4-FFF2-40B4-BE49-F238E27FC236}">
              <a16:creationId xmlns:a16="http://schemas.microsoft.com/office/drawing/2014/main" id="{00000000-0008-0000-0C00-0000AC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3" name="CustomShape 1">
          <a:extLst>
            <a:ext uri="{FF2B5EF4-FFF2-40B4-BE49-F238E27FC236}">
              <a16:creationId xmlns:a16="http://schemas.microsoft.com/office/drawing/2014/main" id="{00000000-0008-0000-0C00-0000AD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4" name="CustomShape 1">
          <a:extLst>
            <a:ext uri="{FF2B5EF4-FFF2-40B4-BE49-F238E27FC236}">
              <a16:creationId xmlns:a16="http://schemas.microsoft.com/office/drawing/2014/main" id="{00000000-0008-0000-0C00-0000AE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5" name="CustomShape 1">
          <a:extLst>
            <a:ext uri="{FF2B5EF4-FFF2-40B4-BE49-F238E27FC236}">
              <a16:creationId xmlns:a16="http://schemas.microsoft.com/office/drawing/2014/main" id="{00000000-0008-0000-0C00-0000AF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6" name="CustomShape 1">
          <a:extLst>
            <a:ext uri="{FF2B5EF4-FFF2-40B4-BE49-F238E27FC236}">
              <a16:creationId xmlns:a16="http://schemas.microsoft.com/office/drawing/2014/main" id="{00000000-0008-0000-0C00-0000B0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7" name="CustomShape 1">
          <a:extLst>
            <a:ext uri="{FF2B5EF4-FFF2-40B4-BE49-F238E27FC236}">
              <a16:creationId xmlns:a16="http://schemas.microsoft.com/office/drawing/2014/main" id="{00000000-0008-0000-0C00-0000B1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37</xdr:row>
      <xdr:rowOff>98640</xdr:rowOff>
    </xdr:from>
    <xdr:to>
      <xdr:col>4</xdr:col>
      <xdr:colOff>149400</xdr:colOff>
      <xdr:row>39</xdr:row>
      <xdr:rowOff>49320</xdr:rowOff>
    </xdr:to>
    <xdr:sp macro="" textlink="">
      <xdr:nvSpPr>
        <xdr:cNvPr id="178" name="CustomShape 1">
          <a:extLst>
            <a:ext uri="{FF2B5EF4-FFF2-40B4-BE49-F238E27FC236}">
              <a16:creationId xmlns:a16="http://schemas.microsoft.com/office/drawing/2014/main" id="{00000000-0008-0000-0C00-0000B2000000}"/>
            </a:ext>
          </a:extLst>
        </xdr:cNvPr>
        <xdr:cNvSpPr/>
      </xdr:nvSpPr>
      <xdr:spPr>
        <a:xfrm>
          <a:off x="4470120" y="7181280"/>
          <a:ext cx="6048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208080</xdr:colOff>
      <xdr:row>37</xdr:row>
      <xdr:rowOff>98640</xdr:rowOff>
    </xdr:from>
    <xdr:to>
      <xdr:col>3</xdr:col>
      <xdr:colOff>277920</xdr:colOff>
      <xdr:row>39</xdr:row>
      <xdr:rowOff>49320</xdr:rowOff>
    </xdr:to>
    <xdr:sp macro="" textlink="">
      <xdr:nvSpPr>
        <xdr:cNvPr id="179" name="CustomShape 1">
          <a:extLst>
            <a:ext uri="{FF2B5EF4-FFF2-40B4-BE49-F238E27FC236}">
              <a16:creationId xmlns:a16="http://schemas.microsoft.com/office/drawing/2014/main" id="{00000000-0008-0000-0C00-0000B3000000}"/>
            </a:ext>
          </a:extLst>
        </xdr:cNvPr>
        <xdr:cNvSpPr/>
      </xdr:nvSpPr>
      <xdr:spPr>
        <a:xfrm>
          <a:off x="4265640" y="7181280"/>
          <a:ext cx="6984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0" name="CustomShape 1">
          <a:extLst>
            <a:ext uri="{FF2B5EF4-FFF2-40B4-BE49-F238E27FC236}">
              <a16:creationId xmlns:a16="http://schemas.microsoft.com/office/drawing/2014/main" id="{00000000-0008-0000-0C00-0000B4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1" name="CustomShape 1">
          <a:extLst>
            <a:ext uri="{FF2B5EF4-FFF2-40B4-BE49-F238E27FC236}">
              <a16:creationId xmlns:a16="http://schemas.microsoft.com/office/drawing/2014/main" id="{00000000-0008-0000-0C00-0000B5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2" name="CustomShape 1">
          <a:extLst>
            <a:ext uri="{FF2B5EF4-FFF2-40B4-BE49-F238E27FC236}">
              <a16:creationId xmlns:a16="http://schemas.microsoft.com/office/drawing/2014/main" id="{00000000-0008-0000-0C00-0000B6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3" name="CustomShape 1">
          <a:extLst>
            <a:ext uri="{FF2B5EF4-FFF2-40B4-BE49-F238E27FC236}">
              <a16:creationId xmlns:a16="http://schemas.microsoft.com/office/drawing/2014/main" id="{00000000-0008-0000-0C00-0000B7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4" name="CustomShape 1">
          <a:extLst>
            <a:ext uri="{FF2B5EF4-FFF2-40B4-BE49-F238E27FC236}">
              <a16:creationId xmlns:a16="http://schemas.microsoft.com/office/drawing/2014/main" id="{00000000-0008-0000-0C00-0000B8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5" name="CustomShape 1">
          <a:extLst>
            <a:ext uri="{FF2B5EF4-FFF2-40B4-BE49-F238E27FC236}">
              <a16:creationId xmlns:a16="http://schemas.microsoft.com/office/drawing/2014/main" id="{00000000-0008-0000-0C00-0000B9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6" name="CustomShape 1">
          <a:extLst>
            <a:ext uri="{FF2B5EF4-FFF2-40B4-BE49-F238E27FC236}">
              <a16:creationId xmlns:a16="http://schemas.microsoft.com/office/drawing/2014/main" id="{00000000-0008-0000-0C00-0000BA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7" name="CustomShape 1">
          <a:extLst>
            <a:ext uri="{FF2B5EF4-FFF2-40B4-BE49-F238E27FC236}">
              <a16:creationId xmlns:a16="http://schemas.microsoft.com/office/drawing/2014/main" id="{00000000-0008-0000-0C00-0000BB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8" name="CustomShape 1">
          <a:extLst>
            <a:ext uri="{FF2B5EF4-FFF2-40B4-BE49-F238E27FC236}">
              <a16:creationId xmlns:a16="http://schemas.microsoft.com/office/drawing/2014/main" id="{00000000-0008-0000-0C00-0000BC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89" name="CustomShape 1">
          <a:extLst>
            <a:ext uri="{FF2B5EF4-FFF2-40B4-BE49-F238E27FC236}">
              <a16:creationId xmlns:a16="http://schemas.microsoft.com/office/drawing/2014/main" id="{00000000-0008-0000-0C00-0000BD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0" name="CustomShape 1">
          <a:extLst>
            <a:ext uri="{FF2B5EF4-FFF2-40B4-BE49-F238E27FC236}">
              <a16:creationId xmlns:a16="http://schemas.microsoft.com/office/drawing/2014/main" id="{00000000-0008-0000-0C00-0000BE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1" name="CustomShape 1">
          <a:extLst>
            <a:ext uri="{FF2B5EF4-FFF2-40B4-BE49-F238E27FC236}">
              <a16:creationId xmlns:a16="http://schemas.microsoft.com/office/drawing/2014/main" id="{00000000-0008-0000-0C00-0000BF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2" name="CustomShape 1">
          <a:extLst>
            <a:ext uri="{FF2B5EF4-FFF2-40B4-BE49-F238E27FC236}">
              <a16:creationId xmlns:a16="http://schemas.microsoft.com/office/drawing/2014/main" id="{00000000-0008-0000-0C00-0000C0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3" name="CustomShape 1">
          <a:extLst>
            <a:ext uri="{FF2B5EF4-FFF2-40B4-BE49-F238E27FC236}">
              <a16:creationId xmlns:a16="http://schemas.microsoft.com/office/drawing/2014/main" id="{00000000-0008-0000-0C00-0000C1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4" name="CustomShape 1">
          <a:extLst>
            <a:ext uri="{FF2B5EF4-FFF2-40B4-BE49-F238E27FC236}">
              <a16:creationId xmlns:a16="http://schemas.microsoft.com/office/drawing/2014/main" id="{00000000-0008-0000-0C00-0000C2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5" name="CustomShape 1">
          <a:extLst>
            <a:ext uri="{FF2B5EF4-FFF2-40B4-BE49-F238E27FC236}">
              <a16:creationId xmlns:a16="http://schemas.microsoft.com/office/drawing/2014/main" id="{00000000-0008-0000-0C00-0000C3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6" name="CustomShape 1">
          <a:extLst>
            <a:ext uri="{FF2B5EF4-FFF2-40B4-BE49-F238E27FC236}">
              <a16:creationId xmlns:a16="http://schemas.microsoft.com/office/drawing/2014/main" id="{00000000-0008-0000-0C00-0000C4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7" name="CustomShape 1">
          <a:extLst>
            <a:ext uri="{FF2B5EF4-FFF2-40B4-BE49-F238E27FC236}">
              <a16:creationId xmlns:a16="http://schemas.microsoft.com/office/drawing/2014/main" id="{00000000-0008-0000-0C00-0000C5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8" name="CustomShape 1">
          <a:extLst>
            <a:ext uri="{FF2B5EF4-FFF2-40B4-BE49-F238E27FC236}">
              <a16:creationId xmlns:a16="http://schemas.microsoft.com/office/drawing/2014/main" id="{00000000-0008-0000-0C00-0000C6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199" name="CustomShape 1">
          <a:extLst>
            <a:ext uri="{FF2B5EF4-FFF2-40B4-BE49-F238E27FC236}">
              <a16:creationId xmlns:a16="http://schemas.microsoft.com/office/drawing/2014/main" id="{00000000-0008-0000-0C00-0000C7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208080</xdr:colOff>
      <xdr:row>31</xdr:row>
      <xdr:rowOff>99000</xdr:rowOff>
    </xdr:from>
    <xdr:to>
      <xdr:col>3</xdr:col>
      <xdr:colOff>277920</xdr:colOff>
      <xdr:row>33</xdr:row>
      <xdr:rowOff>49320</xdr:rowOff>
    </xdr:to>
    <xdr:sp macro="" textlink="">
      <xdr:nvSpPr>
        <xdr:cNvPr id="200" name="CustomShape 1">
          <a:extLst>
            <a:ext uri="{FF2B5EF4-FFF2-40B4-BE49-F238E27FC236}">
              <a16:creationId xmlns:a16="http://schemas.microsoft.com/office/drawing/2014/main" id="{00000000-0008-0000-0C00-0000C8000000}"/>
            </a:ext>
          </a:extLst>
        </xdr:cNvPr>
        <xdr:cNvSpPr/>
      </xdr:nvSpPr>
      <xdr:spPr>
        <a:xfrm>
          <a:off x="4265640" y="6095880"/>
          <a:ext cx="6984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201" name="CustomShape 1">
          <a:extLst>
            <a:ext uri="{FF2B5EF4-FFF2-40B4-BE49-F238E27FC236}">
              <a16:creationId xmlns:a16="http://schemas.microsoft.com/office/drawing/2014/main" id="{00000000-0008-0000-0C00-0000C9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202" name="CustomShape 1">
          <a:extLst>
            <a:ext uri="{FF2B5EF4-FFF2-40B4-BE49-F238E27FC236}">
              <a16:creationId xmlns:a16="http://schemas.microsoft.com/office/drawing/2014/main" id="{00000000-0008-0000-0C00-0000CA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203" name="CustomShape 1">
          <a:extLst>
            <a:ext uri="{FF2B5EF4-FFF2-40B4-BE49-F238E27FC236}">
              <a16:creationId xmlns:a16="http://schemas.microsoft.com/office/drawing/2014/main" id="{00000000-0008-0000-0C00-0000CB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204" name="CustomShape 1">
          <a:extLst>
            <a:ext uri="{FF2B5EF4-FFF2-40B4-BE49-F238E27FC236}">
              <a16:creationId xmlns:a16="http://schemas.microsoft.com/office/drawing/2014/main" id="{00000000-0008-0000-0C00-0000CC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149400</xdr:colOff>
      <xdr:row>33</xdr:row>
      <xdr:rowOff>49320</xdr:rowOff>
    </xdr:to>
    <xdr:sp macro="" textlink="">
      <xdr:nvSpPr>
        <xdr:cNvPr id="205" name="CustomShape 1">
          <a:extLst>
            <a:ext uri="{FF2B5EF4-FFF2-40B4-BE49-F238E27FC236}">
              <a16:creationId xmlns:a16="http://schemas.microsoft.com/office/drawing/2014/main" id="{00000000-0008-0000-0C00-0000CD000000}"/>
            </a:ext>
          </a:extLst>
        </xdr:cNvPr>
        <xdr:cNvSpPr/>
      </xdr:nvSpPr>
      <xdr:spPr>
        <a:xfrm>
          <a:off x="4470120" y="6095880"/>
          <a:ext cx="60480" cy="312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103320</xdr:colOff>
      <xdr:row>8</xdr:row>
      <xdr:rowOff>97560</xdr:rowOff>
    </xdr:from>
    <xdr:to>
      <xdr:col>4</xdr:col>
      <xdr:colOff>159120</xdr:colOff>
      <xdr:row>10</xdr:row>
      <xdr:rowOff>5400</xdr:rowOff>
    </xdr:to>
    <xdr:sp macro="" textlink="">
      <xdr:nvSpPr>
        <xdr:cNvPr id="206" name="CustomShape 1">
          <a:extLst>
            <a:ext uri="{FF2B5EF4-FFF2-40B4-BE49-F238E27FC236}">
              <a16:creationId xmlns:a16="http://schemas.microsoft.com/office/drawing/2014/main" id="{00000000-0008-0000-0C00-0000CE000000}"/>
            </a:ext>
          </a:extLst>
        </xdr:cNvPr>
        <xdr:cNvSpPr/>
      </xdr:nvSpPr>
      <xdr:spPr>
        <a:xfrm>
          <a:off x="4484520" y="1337040"/>
          <a:ext cx="55800" cy="2174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103320</xdr:colOff>
      <xdr:row>37</xdr:row>
      <xdr:rowOff>98640</xdr:rowOff>
    </xdr:from>
    <xdr:to>
      <xdr:col>4</xdr:col>
      <xdr:colOff>159120</xdr:colOff>
      <xdr:row>39</xdr:row>
      <xdr:rowOff>49320</xdr:rowOff>
    </xdr:to>
    <xdr:sp macro="" textlink="">
      <xdr:nvSpPr>
        <xdr:cNvPr id="207" name="CustomShape 1">
          <a:extLst>
            <a:ext uri="{FF2B5EF4-FFF2-40B4-BE49-F238E27FC236}">
              <a16:creationId xmlns:a16="http://schemas.microsoft.com/office/drawing/2014/main" id="{00000000-0008-0000-0C00-0000CF000000}"/>
            </a:ext>
          </a:extLst>
        </xdr:cNvPr>
        <xdr:cNvSpPr/>
      </xdr:nvSpPr>
      <xdr:spPr>
        <a:xfrm>
          <a:off x="4484520" y="7181280"/>
          <a:ext cx="55800" cy="312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23</xdr:row>
      <xdr:rowOff>221040</xdr:rowOff>
    </xdr:from>
    <xdr:to>
      <xdr:col>4</xdr:col>
      <xdr:colOff>158760</xdr:colOff>
      <xdr:row>25</xdr:row>
      <xdr:rowOff>86400</xdr:rowOff>
    </xdr:to>
    <xdr:sp macro="" textlink="">
      <xdr:nvSpPr>
        <xdr:cNvPr id="208" name="CustomShape 1">
          <a:extLst>
            <a:ext uri="{FF2B5EF4-FFF2-40B4-BE49-F238E27FC236}">
              <a16:creationId xmlns:a16="http://schemas.microsoft.com/office/drawing/2014/main" id="{00000000-0008-0000-0C00-0000D0000000}"/>
            </a:ext>
          </a:extLst>
        </xdr:cNvPr>
        <xdr:cNvSpPr/>
      </xdr:nvSpPr>
      <xdr:spPr>
        <a:xfrm>
          <a:off x="4474800" y="4470840"/>
          <a:ext cx="65160" cy="3798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30</xdr:row>
      <xdr:rowOff>98640</xdr:rowOff>
    </xdr:from>
    <xdr:to>
      <xdr:col>4</xdr:col>
      <xdr:colOff>158760</xdr:colOff>
      <xdr:row>32</xdr:row>
      <xdr:rowOff>30240</xdr:rowOff>
    </xdr:to>
    <xdr:sp macro="" textlink="">
      <xdr:nvSpPr>
        <xdr:cNvPr id="209" name="CustomShape 1">
          <a:extLst>
            <a:ext uri="{FF2B5EF4-FFF2-40B4-BE49-F238E27FC236}">
              <a16:creationId xmlns:a16="http://schemas.microsoft.com/office/drawing/2014/main" id="{00000000-0008-0000-0C00-0000D1000000}"/>
            </a:ext>
          </a:extLst>
        </xdr:cNvPr>
        <xdr:cNvSpPr/>
      </xdr:nvSpPr>
      <xdr:spPr>
        <a:xfrm>
          <a:off x="4474800" y="5914440"/>
          <a:ext cx="6516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31</xdr:row>
      <xdr:rowOff>99000</xdr:rowOff>
    </xdr:from>
    <xdr:to>
      <xdr:col>4</xdr:col>
      <xdr:colOff>158760</xdr:colOff>
      <xdr:row>33</xdr:row>
      <xdr:rowOff>58680</xdr:rowOff>
    </xdr:to>
    <xdr:sp macro="" textlink="">
      <xdr:nvSpPr>
        <xdr:cNvPr id="210" name="CustomShape 1">
          <a:extLst>
            <a:ext uri="{FF2B5EF4-FFF2-40B4-BE49-F238E27FC236}">
              <a16:creationId xmlns:a16="http://schemas.microsoft.com/office/drawing/2014/main" id="{00000000-0008-0000-0C00-0000D2000000}"/>
            </a:ext>
          </a:extLst>
        </xdr:cNvPr>
        <xdr:cNvSpPr/>
      </xdr:nvSpPr>
      <xdr:spPr>
        <a:xfrm>
          <a:off x="4474800" y="6095880"/>
          <a:ext cx="65160" cy="321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31</xdr:row>
      <xdr:rowOff>99000</xdr:rowOff>
    </xdr:from>
    <xdr:to>
      <xdr:col>4</xdr:col>
      <xdr:colOff>158760</xdr:colOff>
      <xdr:row>33</xdr:row>
      <xdr:rowOff>58680</xdr:rowOff>
    </xdr:to>
    <xdr:sp macro="" textlink="">
      <xdr:nvSpPr>
        <xdr:cNvPr id="211" name="CustomShape 1">
          <a:extLst>
            <a:ext uri="{FF2B5EF4-FFF2-40B4-BE49-F238E27FC236}">
              <a16:creationId xmlns:a16="http://schemas.microsoft.com/office/drawing/2014/main" id="{00000000-0008-0000-0C00-0000D3000000}"/>
            </a:ext>
          </a:extLst>
        </xdr:cNvPr>
        <xdr:cNvSpPr/>
      </xdr:nvSpPr>
      <xdr:spPr>
        <a:xfrm>
          <a:off x="4474800" y="6095880"/>
          <a:ext cx="65160" cy="321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31</xdr:row>
      <xdr:rowOff>99000</xdr:rowOff>
    </xdr:from>
    <xdr:to>
      <xdr:col>4</xdr:col>
      <xdr:colOff>158760</xdr:colOff>
      <xdr:row>33</xdr:row>
      <xdr:rowOff>58680</xdr:rowOff>
    </xdr:to>
    <xdr:sp macro="" textlink="">
      <xdr:nvSpPr>
        <xdr:cNvPr id="212" name="CustomShape 1">
          <a:extLst>
            <a:ext uri="{FF2B5EF4-FFF2-40B4-BE49-F238E27FC236}">
              <a16:creationId xmlns:a16="http://schemas.microsoft.com/office/drawing/2014/main" id="{00000000-0008-0000-0C00-0000D4000000}"/>
            </a:ext>
          </a:extLst>
        </xdr:cNvPr>
        <xdr:cNvSpPr/>
      </xdr:nvSpPr>
      <xdr:spPr>
        <a:xfrm>
          <a:off x="4474800" y="6095880"/>
          <a:ext cx="65160" cy="321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31</xdr:row>
      <xdr:rowOff>99000</xdr:rowOff>
    </xdr:from>
    <xdr:to>
      <xdr:col>4</xdr:col>
      <xdr:colOff>158760</xdr:colOff>
      <xdr:row>33</xdr:row>
      <xdr:rowOff>58680</xdr:rowOff>
    </xdr:to>
    <xdr:sp macro="" textlink="">
      <xdr:nvSpPr>
        <xdr:cNvPr id="213" name="CustomShape 1">
          <a:extLst>
            <a:ext uri="{FF2B5EF4-FFF2-40B4-BE49-F238E27FC236}">
              <a16:creationId xmlns:a16="http://schemas.microsoft.com/office/drawing/2014/main" id="{00000000-0008-0000-0C00-0000D5000000}"/>
            </a:ext>
          </a:extLst>
        </xdr:cNvPr>
        <xdr:cNvSpPr/>
      </xdr:nvSpPr>
      <xdr:spPr>
        <a:xfrm>
          <a:off x="4474800" y="6095880"/>
          <a:ext cx="65160" cy="321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32</xdr:row>
      <xdr:rowOff>98640</xdr:rowOff>
    </xdr:from>
    <xdr:to>
      <xdr:col>4</xdr:col>
      <xdr:colOff>158760</xdr:colOff>
      <xdr:row>35</xdr:row>
      <xdr:rowOff>91800</xdr:rowOff>
    </xdr:to>
    <xdr:sp macro="" textlink="">
      <xdr:nvSpPr>
        <xdr:cNvPr id="214" name="CustomShape 1">
          <a:extLst>
            <a:ext uri="{FF2B5EF4-FFF2-40B4-BE49-F238E27FC236}">
              <a16:creationId xmlns:a16="http://schemas.microsoft.com/office/drawing/2014/main" id="{00000000-0008-0000-0C00-0000D6000000}"/>
            </a:ext>
          </a:extLst>
        </xdr:cNvPr>
        <xdr:cNvSpPr/>
      </xdr:nvSpPr>
      <xdr:spPr>
        <a:xfrm>
          <a:off x="4474800" y="6276240"/>
          <a:ext cx="65160" cy="536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32</xdr:row>
      <xdr:rowOff>98640</xdr:rowOff>
    </xdr:from>
    <xdr:to>
      <xdr:col>4</xdr:col>
      <xdr:colOff>158760</xdr:colOff>
      <xdr:row>35</xdr:row>
      <xdr:rowOff>91800</xdr:rowOff>
    </xdr:to>
    <xdr:sp macro="" textlink="">
      <xdr:nvSpPr>
        <xdr:cNvPr id="215" name="CustomShape 1">
          <a:extLst>
            <a:ext uri="{FF2B5EF4-FFF2-40B4-BE49-F238E27FC236}">
              <a16:creationId xmlns:a16="http://schemas.microsoft.com/office/drawing/2014/main" id="{00000000-0008-0000-0C00-0000D7000000}"/>
            </a:ext>
          </a:extLst>
        </xdr:cNvPr>
        <xdr:cNvSpPr/>
      </xdr:nvSpPr>
      <xdr:spPr>
        <a:xfrm>
          <a:off x="4474800" y="6276240"/>
          <a:ext cx="65160" cy="536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32</xdr:row>
      <xdr:rowOff>98640</xdr:rowOff>
    </xdr:from>
    <xdr:to>
      <xdr:col>4</xdr:col>
      <xdr:colOff>158760</xdr:colOff>
      <xdr:row>35</xdr:row>
      <xdr:rowOff>91800</xdr:rowOff>
    </xdr:to>
    <xdr:sp macro="" textlink="">
      <xdr:nvSpPr>
        <xdr:cNvPr id="216" name="CustomShape 1">
          <a:extLst>
            <a:ext uri="{FF2B5EF4-FFF2-40B4-BE49-F238E27FC236}">
              <a16:creationId xmlns:a16="http://schemas.microsoft.com/office/drawing/2014/main" id="{00000000-0008-0000-0C00-0000D8000000}"/>
            </a:ext>
          </a:extLst>
        </xdr:cNvPr>
        <xdr:cNvSpPr/>
      </xdr:nvSpPr>
      <xdr:spPr>
        <a:xfrm>
          <a:off x="4474800" y="6276240"/>
          <a:ext cx="65160" cy="536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23</xdr:row>
      <xdr:rowOff>221040</xdr:rowOff>
    </xdr:from>
    <xdr:to>
      <xdr:col>4</xdr:col>
      <xdr:colOff>158760</xdr:colOff>
      <xdr:row>25</xdr:row>
      <xdr:rowOff>86400</xdr:rowOff>
    </xdr:to>
    <xdr:sp macro="" textlink="">
      <xdr:nvSpPr>
        <xdr:cNvPr id="217" name="CustomShape 1">
          <a:extLst>
            <a:ext uri="{FF2B5EF4-FFF2-40B4-BE49-F238E27FC236}">
              <a16:creationId xmlns:a16="http://schemas.microsoft.com/office/drawing/2014/main" id="{00000000-0008-0000-0C00-0000D9000000}"/>
            </a:ext>
          </a:extLst>
        </xdr:cNvPr>
        <xdr:cNvSpPr/>
      </xdr:nvSpPr>
      <xdr:spPr>
        <a:xfrm>
          <a:off x="4474800" y="4470840"/>
          <a:ext cx="65160" cy="3798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23</xdr:row>
      <xdr:rowOff>221040</xdr:rowOff>
    </xdr:from>
    <xdr:to>
      <xdr:col>4</xdr:col>
      <xdr:colOff>158760</xdr:colOff>
      <xdr:row>25</xdr:row>
      <xdr:rowOff>86400</xdr:rowOff>
    </xdr:to>
    <xdr:sp macro="" textlink="">
      <xdr:nvSpPr>
        <xdr:cNvPr id="218" name="CustomShape 1">
          <a:extLst>
            <a:ext uri="{FF2B5EF4-FFF2-40B4-BE49-F238E27FC236}">
              <a16:creationId xmlns:a16="http://schemas.microsoft.com/office/drawing/2014/main" id="{00000000-0008-0000-0C00-0000DA000000}"/>
            </a:ext>
          </a:extLst>
        </xdr:cNvPr>
        <xdr:cNvSpPr/>
      </xdr:nvSpPr>
      <xdr:spPr>
        <a:xfrm>
          <a:off x="4474800" y="4470840"/>
          <a:ext cx="65160" cy="3798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23</xdr:row>
      <xdr:rowOff>221040</xdr:rowOff>
    </xdr:from>
    <xdr:to>
      <xdr:col>4</xdr:col>
      <xdr:colOff>158760</xdr:colOff>
      <xdr:row>25</xdr:row>
      <xdr:rowOff>86400</xdr:rowOff>
    </xdr:to>
    <xdr:sp macro="" textlink="">
      <xdr:nvSpPr>
        <xdr:cNvPr id="219" name="CustomShape 1">
          <a:extLst>
            <a:ext uri="{FF2B5EF4-FFF2-40B4-BE49-F238E27FC236}">
              <a16:creationId xmlns:a16="http://schemas.microsoft.com/office/drawing/2014/main" id="{00000000-0008-0000-0C00-0000DB000000}"/>
            </a:ext>
          </a:extLst>
        </xdr:cNvPr>
        <xdr:cNvSpPr/>
      </xdr:nvSpPr>
      <xdr:spPr>
        <a:xfrm>
          <a:off x="4474800" y="4470840"/>
          <a:ext cx="65160" cy="3798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20</xdr:row>
      <xdr:rowOff>92880</xdr:rowOff>
    </xdr:from>
    <xdr:to>
      <xdr:col>4</xdr:col>
      <xdr:colOff>158760</xdr:colOff>
      <xdr:row>22</xdr:row>
      <xdr:rowOff>67320</xdr:rowOff>
    </xdr:to>
    <xdr:sp macro="" textlink="">
      <xdr:nvSpPr>
        <xdr:cNvPr id="220" name="CustomShape 1">
          <a:extLst>
            <a:ext uri="{FF2B5EF4-FFF2-40B4-BE49-F238E27FC236}">
              <a16:creationId xmlns:a16="http://schemas.microsoft.com/office/drawing/2014/main" id="{00000000-0008-0000-0C00-0000DC000000}"/>
            </a:ext>
          </a:extLst>
        </xdr:cNvPr>
        <xdr:cNvSpPr/>
      </xdr:nvSpPr>
      <xdr:spPr>
        <a:xfrm>
          <a:off x="4474800" y="3647520"/>
          <a:ext cx="65160" cy="412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20</xdr:row>
      <xdr:rowOff>92880</xdr:rowOff>
    </xdr:from>
    <xdr:to>
      <xdr:col>4</xdr:col>
      <xdr:colOff>158760</xdr:colOff>
      <xdr:row>22</xdr:row>
      <xdr:rowOff>67320</xdr:rowOff>
    </xdr:to>
    <xdr:sp macro="" textlink="">
      <xdr:nvSpPr>
        <xdr:cNvPr id="221" name="CustomShape 1">
          <a:extLst>
            <a:ext uri="{FF2B5EF4-FFF2-40B4-BE49-F238E27FC236}">
              <a16:creationId xmlns:a16="http://schemas.microsoft.com/office/drawing/2014/main" id="{00000000-0008-0000-0C00-0000DD000000}"/>
            </a:ext>
          </a:extLst>
        </xdr:cNvPr>
        <xdr:cNvSpPr/>
      </xdr:nvSpPr>
      <xdr:spPr>
        <a:xfrm>
          <a:off x="4474800" y="3647520"/>
          <a:ext cx="65160" cy="412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20</xdr:row>
      <xdr:rowOff>92880</xdr:rowOff>
    </xdr:from>
    <xdr:to>
      <xdr:col>4</xdr:col>
      <xdr:colOff>158760</xdr:colOff>
      <xdr:row>22</xdr:row>
      <xdr:rowOff>67320</xdr:rowOff>
    </xdr:to>
    <xdr:sp macro="" textlink="">
      <xdr:nvSpPr>
        <xdr:cNvPr id="222" name="CustomShape 1">
          <a:extLst>
            <a:ext uri="{FF2B5EF4-FFF2-40B4-BE49-F238E27FC236}">
              <a16:creationId xmlns:a16="http://schemas.microsoft.com/office/drawing/2014/main" id="{00000000-0008-0000-0C00-0000DE000000}"/>
            </a:ext>
          </a:extLst>
        </xdr:cNvPr>
        <xdr:cNvSpPr/>
      </xdr:nvSpPr>
      <xdr:spPr>
        <a:xfrm>
          <a:off x="4474800" y="3647520"/>
          <a:ext cx="65160" cy="412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32</xdr:row>
      <xdr:rowOff>98640</xdr:rowOff>
    </xdr:from>
    <xdr:to>
      <xdr:col>4</xdr:col>
      <xdr:colOff>158760</xdr:colOff>
      <xdr:row>35</xdr:row>
      <xdr:rowOff>91800</xdr:rowOff>
    </xdr:to>
    <xdr:sp macro="" textlink="">
      <xdr:nvSpPr>
        <xdr:cNvPr id="223" name="CustomShape 1">
          <a:extLst>
            <a:ext uri="{FF2B5EF4-FFF2-40B4-BE49-F238E27FC236}">
              <a16:creationId xmlns:a16="http://schemas.microsoft.com/office/drawing/2014/main" id="{00000000-0008-0000-0C00-0000DF000000}"/>
            </a:ext>
          </a:extLst>
        </xdr:cNvPr>
        <xdr:cNvSpPr/>
      </xdr:nvSpPr>
      <xdr:spPr>
        <a:xfrm>
          <a:off x="4474800" y="6276240"/>
          <a:ext cx="65160" cy="536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32</xdr:row>
      <xdr:rowOff>98640</xdr:rowOff>
    </xdr:from>
    <xdr:to>
      <xdr:col>4</xdr:col>
      <xdr:colOff>158760</xdr:colOff>
      <xdr:row>35</xdr:row>
      <xdr:rowOff>91800</xdr:rowOff>
    </xdr:to>
    <xdr:sp macro="" textlink="">
      <xdr:nvSpPr>
        <xdr:cNvPr id="224" name="CustomShape 1">
          <a:extLst>
            <a:ext uri="{FF2B5EF4-FFF2-40B4-BE49-F238E27FC236}">
              <a16:creationId xmlns:a16="http://schemas.microsoft.com/office/drawing/2014/main" id="{00000000-0008-0000-0C00-0000E0000000}"/>
            </a:ext>
          </a:extLst>
        </xdr:cNvPr>
        <xdr:cNvSpPr/>
      </xdr:nvSpPr>
      <xdr:spPr>
        <a:xfrm>
          <a:off x="4474800" y="6276240"/>
          <a:ext cx="65160" cy="536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32</xdr:row>
      <xdr:rowOff>98640</xdr:rowOff>
    </xdr:from>
    <xdr:to>
      <xdr:col>4</xdr:col>
      <xdr:colOff>158760</xdr:colOff>
      <xdr:row>35</xdr:row>
      <xdr:rowOff>91800</xdr:rowOff>
    </xdr:to>
    <xdr:sp macro="" textlink="">
      <xdr:nvSpPr>
        <xdr:cNvPr id="225" name="CustomShape 1">
          <a:extLst>
            <a:ext uri="{FF2B5EF4-FFF2-40B4-BE49-F238E27FC236}">
              <a16:creationId xmlns:a16="http://schemas.microsoft.com/office/drawing/2014/main" id="{00000000-0008-0000-0C00-0000E1000000}"/>
            </a:ext>
          </a:extLst>
        </xdr:cNvPr>
        <xdr:cNvSpPr/>
      </xdr:nvSpPr>
      <xdr:spPr>
        <a:xfrm>
          <a:off x="4474800" y="6276240"/>
          <a:ext cx="65160" cy="536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33</xdr:row>
      <xdr:rowOff>98640</xdr:rowOff>
    </xdr:from>
    <xdr:to>
      <xdr:col>4</xdr:col>
      <xdr:colOff>158760</xdr:colOff>
      <xdr:row>37</xdr:row>
      <xdr:rowOff>1800</xdr:rowOff>
    </xdr:to>
    <xdr:sp macro="" textlink="">
      <xdr:nvSpPr>
        <xdr:cNvPr id="226" name="CustomShape 1">
          <a:extLst>
            <a:ext uri="{FF2B5EF4-FFF2-40B4-BE49-F238E27FC236}">
              <a16:creationId xmlns:a16="http://schemas.microsoft.com/office/drawing/2014/main" id="{00000000-0008-0000-0C00-0000E2000000}"/>
            </a:ext>
          </a:extLst>
        </xdr:cNvPr>
        <xdr:cNvSpPr/>
      </xdr:nvSpPr>
      <xdr:spPr>
        <a:xfrm>
          <a:off x="4474800" y="6457320"/>
          <a:ext cx="65160" cy="627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33</xdr:row>
      <xdr:rowOff>98640</xdr:rowOff>
    </xdr:from>
    <xdr:to>
      <xdr:col>4</xdr:col>
      <xdr:colOff>158760</xdr:colOff>
      <xdr:row>37</xdr:row>
      <xdr:rowOff>1800</xdr:rowOff>
    </xdr:to>
    <xdr:sp macro="" textlink="">
      <xdr:nvSpPr>
        <xdr:cNvPr id="227" name="CustomShape 1">
          <a:extLst>
            <a:ext uri="{FF2B5EF4-FFF2-40B4-BE49-F238E27FC236}">
              <a16:creationId xmlns:a16="http://schemas.microsoft.com/office/drawing/2014/main" id="{00000000-0008-0000-0C00-0000E3000000}"/>
            </a:ext>
          </a:extLst>
        </xdr:cNvPr>
        <xdr:cNvSpPr/>
      </xdr:nvSpPr>
      <xdr:spPr>
        <a:xfrm>
          <a:off x="4474800" y="6457320"/>
          <a:ext cx="65160" cy="627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33</xdr:row>
      <xdr:rowOff>98640</xdr:rowOff>
    </xdr:from>
    <xdr:to>
      <xdr:col>4</xdr:col>
      <xdr:colOff>158760</xdr:colOff>
      <xdr:row>37</xdr:row>
      <xdr:rowOff>1800</xdr:rowOff>
    </xdr:to>
    <xdr:sp macro="" textlink="">
      <xdr:nvSpPr>
        <xdr:cNvPr id="228" name="CustomShape 1">
          <a:extLst>
            <a:ext uri="{FF2B5EF4-FFF2-40B4-BE49-F238E27FC236}">
              <a16:creationId xmlns:a16="http://schemas.microsoft.com/office/drawing/2014/main" id="{00000000-0008-0000-0C00-0000E4000000}"/>
            </a:ext>
          </a:extLst>
        </xdr:cNvPr>
        <xdr:cNvSpPr/>
      </xdr:nvSpPr>
      <xdr:spPr>
        <a:xfrm>
          <a:off x="4474800" y="6457320"/>
          <a:ext cx="65160" cy="627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22</xdr:row>
      <xdr:rowOff>221400</xdr:rowOff>
    </xdr:from>
    <xdr:to>
      <xdr:col>4</xdr:col>
      <xdr:colOff>158760</xdr:colOff>
      <xdr:row>24</xdr:row>
      <xdr:rowOff>248040</xdr:rowOff>
    </xdr:to>
    <xdr:sp macro="" textlink="">
      <xdr:nvSpPr>
        <xdr:cNvPr id="229" name="CustomShape 1">
          <a:extLst>
            <a:ext uri="{FF2B5EF4-FFF2-40B4-BE49-F238E27FC236}">
              <a16:creationId xmlns:a16="http://schemas.microsoft.com/office/drawing/2014/main" id="{00000000-0008-0000-0C00-0000E5000000}"/>
            </a:ext>
          </a:extLst>
        </xdr:cNvPr>
        <xdr:cNvSpPr/>
      </xdr:nvSpPr>
      <xdr:spPr>
        <a:xfrm>
          <a:off x="4474800" y="4214160"/>
          <a:ext cx="65160" cy="541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22</xdr:row>
      <xdr:rowOff>221400</xdr:rowOff>
    </xdr:from>
    <xdr:to>
      <xdr:col>4</xdr:col>
      <xdr:colOff>158760</xdr:colOff>
      <xdr:row>24</xdr:row>
      <xdr:rowOff>248040</xdr:rowOff>
    </xdr:to>
    <xdr:sp macro="" textlink="">
      <xdr:nvSpPr>
        <xdr:cNvPr id="230" name="CustomShape 1">
          <a:extLst>
            <a:ext uri="{FF2B5EF4-FFF2-40B4-BE49-F238E27FC236}">
              <a16:creationId xmlns:a16="http://schemas.microsoft.com/office/drawing/2014/main" id="{00000000-0008-0000-0C00-0000E6000000}"/>
            </a:ext>
          </a:extLst>
        </xdr:cNvPr>
        <xdr:cNvSpPr/>
      </xdr:nvSpPr>
      <xdr:spPr>
        <a:xfrm>
          <a:off x="4474800" y="4214160"/>
          <a:ext cx="65160" cy="541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22</xdr:row>
      <xdr:rowOff>221400</xdr:rowOff>
    </xdr:from>
    <xdr:to>
      <xdr:col>4</xdr:col>
      <xdr:colOff>158760</xdr:colOff>
      <xdr:row>24</xdr:row>
      <xdr:rowOff>248040</xdr:rowOff>
    </xdr:to>
    <xdr:sp macro="" textlink="">
      <xdr:nvSpPr>
        <xdr:cNvPr id="231" name="CustomShape 1">
          <a:extLst>
            <a:ext uri="{FF2B5EF4-FFF2-40B4-BE49-F238E27FC236}">
              <a16:creationId xmlns:a16="http://schemas.microsoft.com/office/drawing/2014/main" id="{00000000-0008-0000-0C00-0000E7000000}"/>
            </a:ext>
          </a:extLst>
        </xdr:cNvPr>
        <xdr:cNvSpPr/>
      </xdr:nvSpPr>
      <xdr:spPr>
        <a:xfrm>
          <a:off x="4474800" y="4214160"/>
          <a:ext cx="65160" cy="541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22</xdr:row>
      <xdr:rowOff>221400</xdr:rowOff>
    </xdr:from>
    <xdr:to>
      <xdr:col>4</xdr:col>
      <xdr:colOff>158760</xdr:colOff>
      <xdr:row>24</xdr:row>
      <xdr:rowOff>248040</xdr:rowOff>
    </xdr:to>
    <xdr:sp macro="" textlink="">
      <xdr:nvSpPr>
        <xdr:cNvPr id="232" name="CustomShape 1">
          <a:extLst>
            <a:ext uri="{FF2B5EF4-FFF2-40B4-BE49-F238E27FC236}">
              <a16:creationId xmlns:a16="http://schemas.microsoft.com/office/drawing/2014/main" id="{00000000-0008-0000-0C00-0000E8000000}"/>
            </a:ext>
          </a:extLst>
        </xdr:cNvPr>
        <xdr:cNvSpPr/>
      </xdr:nvSpPr>
      <xdr:spPr>
        <a:xfrm>
          <a:off x="4474800" y="4214160"/>
          <a:ext cx="65160" cy="541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21</xdr:row>
      <xdr:rowOff>221040</xdr:rowOff>
    </xdr:from>
    <xdr:to>
      <xdr:col>4</xdr:col>
      <xdr:colOff>158760</xdr:colOff>
      <xdr:row>23</xdr:row>
      <xdr:rowOff>86400</xdr:rowOff>
    </xdr:to>
    <xdr:sp macro="" textlink="">
      <xdr:nvSpPr>
        <xdr:cNvPr id="233" name="CustomShape 1">
          <a:extLst>
            <a:ext uri="{FF2B5EF4-FFF2-40B4-BE49-F238E27FC236}">
              <a16:creationId xmlns:a16="http://schemas.microsoft.com/office/drawing/2014/main" id="{00000000-0008-0000-0C00-0000E9000000}"/>
            </a:ext>
          </a:extLst>
        </xdr:cNvPr>
        <xdr:cNvSpPr/>
      </xdr:nvSpPr>
      <xdr:spPr>
        <a:xfrm>
          <a:off x="4474800" y="3956400"/>
          <a:ext cx="65160" cy="3798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21</xdr:row>
      <xdr:rowOff>221040</xdr:rowOff>
    </xdr:from>
    <xdr:to>
      <xdr:col>4</xdr:col>
      <xdr:colOff>158760</xdr:colOff>
      <xdr:row>23</xdr:row>
      <xdr:rowOff>86400</xdr:rowOff>
    </xdr:to>
    <xdr:sp macro="" textlink="">
      <xdr:nvSpPr>
        <xdr:cNvPr id="234" name="CustomShape 1">
          <a:extLst>
            <a:ext uri="{FF2B5EF4-FFF2-40B4-BE49-F238E27FC236}">
              <a16:creationId xmlns:a16="http://schemas.microsoft.com/office/drawing/2014/main" id="{00000000-0008-0000-0C00-0000EA000000}"/>
            </a:ext>
          </a:extLst>
        </xdr:cNvPr>
        <xdr:cNvSpPr/>
      </xdr:nvSpPr>
      <xdr:spPr>
        <a:xfrm>
          <a:off x="4474800" y="3956400"/>
          <a:ext cx="65160" cy="3798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93600</xdr:colOff>
      <xdr:row>21</xdr:row>
      <xdr:rowOff>221040</xdr:rowOff>
    </xdr:from>
    <xdr:to>
      <xdr:col>4</xdr:col>
      <xdr:colOff>158760</xdr:colOff>
      <xdr:row>23</xdr:row>
      <xdr:rowOff>86400</xdr:rowOff>
    </xdr:to>
    <xdr:sp macro="" textlink="">
      <xdr:nvSpPr>
        <xdr:cNvPr id="235" name="CustomShape 1">
          <a:extLst>
            <a:ext uri="{FF2B5EF4-FFF2-40B4-BE49-F238E27FC236}">
              <a16:creationId xmlns:a16="http://schemas.microsoft.com/office/drawing/2014/main" id="{00000000-0008-0000-0C00-0000EB000000}"/>
            </a:ext>
          </a:extLst>
        </xdr:cNvPr>
        <xdr:cNvSpPr/>
      </xdr:nvSpPr>
      <xdr:spPr>
        <a:xfrm>
          <a:off x="4474800" y="3956400"/>
          <a:ext cx="65160" cy="3798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36" name="CustomShape 1">
          <a:extLst>
            <a:ext uri="{FF2B5EF4-FFF2-40B4-BE49-F238E27FC236}">
              <a16:creationId xmlns:a16="http://schemas.microsoft.com/office/drawing/2014/main" id="{00000000-0008-0000-0C00-0000EC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37" name="CustomShape 1">
          <a:extLst>
            <a:ext uri="{FF2B5EF4-FFF2-40B4-BE49-F238E27FC236}">
              <a16:creationId xmlns:a16="http://schemas.microsoft.com/office/drawing/2014/main" id="{00000000-0008-0000-0C00-0000ED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38" name="CustomShape 1">
          <a:extLst>
            <a:ext uri="{FF2B5EF4-FFF2-40B4-BE49-F238E27FC236}">
              <a16:creationId xmlns:a16="http://schemas.microsoft.com/office/drawing/2014/main" id="{00000000-0008-0000-0C00-0000EE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39" name="CustomShape 1">
          <a:extLst>
            <a:ext uri="{FF2B5EF4-FFF2-40B4-BE49-F238E27FC236}">
              <a16:creationId xmlns:a16="http://schemas.microsoft.com/office/drawing/2014/main" id="{00000000-0008-0000-0C00-0000EF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0" name="CustomShape 1">
          <a:extLst>
            <a:ext uri="{FF2B5EF4-FFF2-40B4-BE49-F238E27FC236}">
              <a16:creationId xmlns:a16="http://schemas.microsoft.com/office/drawing/2014/main" id="{00000000-0008-0000-0C00-0000F0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1" name="CustomShape 1">
          <a:extLst>
            <a:ext uri="{FF2B5EF4-FFF2-40B4-BE49-F238E27FC236}">
              <a16:creationId xmlns:a16="http://schemas.microsoft.com/office/drawing/2014/main" id="{00000000-0008-0000-0C00-0000F1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2" name="CustomShape 1">
          <a:extLst>
            <a:ext uri="{FF2B5EF4-FFF2-40B4-BE49-F238E27FC236}">
              <a16:creationId xmlns:a16="http://schemas.microsoft.com/office/drawing/2014/main" id="{00000000-0008-0000-0C00-0000F2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3" name="CustomShape 1">
          <a:extLst>
            <a:ext uri="{FF2B5EF4-FFF2-40B4-BE49-F238E27FC236}">
              <a16:creationId xmlns:a16="http://schemas.microsoft.com/office/drawing/2014/main" id="{00000000-0008-0000-0C00-0000F3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4" name="CustomShape 1">
          <a:extLst>
            <a:ext uri="{FF2B5EF4-FFF2-40B4-BE49-F238E27FC236}">
              <a16:creationId xmlns:a16="http://schemas.microsoft.com/office/drawing/2014/main" id="{00000000-0008-0000-0C00-0000F4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5" name="CustomShape 1">
          <a:extLst>
            <a:ext uri="{FF2B5EF4-FFF2-40B4-BE49-F238E27FC236}">
              <a16:creationId xmlns:a16="http://schemas.microsoft.com/office/drawing/2014/main" id="{00000000-0008-0000-0C00-0000F5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6" name="CustomShape 1">
          <a:extLst>
            <a:ext uri="{FF2B5EF4-FFF2-40B4-BE49-F238E27FC236}">
              <a16:creationId xmlns:a16="http://schemas.microsoft.com/office/drawing/2014/main" id="{00000000-0008-0000-0C00-0000F6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7" name="CustomShape 1">
          <a:extLst>
            <a:ext uri="{FF2B5EF4-FFF2-40B4-BE49-F238E27FC236}">
              <a16:creationId xmlns:a16="http://schemas.microsoft.com/office/drawing/2014/main" id="{00000000-0008-0000-0C00-0000F7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8" name="CustomShape 1">
          <a:extLst>
            <a:ext uri="{FF2B5EF4-FFF2-40B4-BE49-F238E27FC236}">
              <a16:creationId xmlns:a16="http://schemas.microsoft.com/office/drawing/2014/main" id="{00000000-0008-0000-0C00-0000F8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49" name="CustomShape 1">
          <a:extLst>
            <a:ext uri="{FF2B5EF4-FFF2-40B4-BE49-F238E27FC236}">
              <a16:creationId xmlns:a16="http://schemas.microsoft.com/office/drawing/2014/main" id="{00000000-0008-0000-0C00-0000F9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0" name="CustomShape 1">
          <a:extLst>
            <a:ext uri="{FF2B5EF4-FFF2-40B4-BE49-F238E27FC236}">
              <a16:creationId xmlns:a16="http://schemas.microsoft.com/office/drawing/2014/main" id="{00000000-0008-0000-0C00-0000FA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1" name="CustomShape 1">
          <a:extLst>
            <a:ext uri="{FF2B5EF4-FFF2-40B4-BE49-F238E27FC236}">
              <a16:creationId xmlns:a16="http://schemas.microsoft.com/office/drawing/2014/main" id="{00000000-0008-0000-0C00-0000FB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2" name="CustomShape 1">
          <a:extLst>
            <a:ext uri="{FF2B5EF4-FFF2-40B4-BE49-F238E27FC236}">
              <a16:creationId xmlns:a16="http://schemas.microsoft.com/office/drawing/2014/main" id="{00000000-0008-0000-0C00-0000FC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3" name="CustomShape 1">
          <a:extLst>
            <a:ext uri="{FF2B5EF4-FFF2-40B4-BE49-F238E27FC236}">
              <a16:creationId xmlns:a16="http://schemas.microsoft.com/office/drawing/2014/main" id="{00000000-0008-0000-0C00-0000FD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4" name="CustomShape 1">
          <a:extLst>
            <a:ext uri="{FF2B5EF4-FFF2-40B4-BE49-F238E27FC236}">
              <a16:creationId xmlns:a16="http://schemas.microsoft.com/office/drawing/2014/main" id="{00000000-0008-0000-0C00-0000FE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5" name="CustomShape 1">
          <a:extLst>
            <a:ext uri="{FF2B5EF4-FFF2-40B4-BE49-F238E27FC236}">
              <a16:creationId xmlns:a16="http://schemas.microsoft.com/office/drawing/2014/main" id="{00000000-0008-0000-0C00-0000FF00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6" name="CustomShape 1">
          <a:extLst>
            <a:ext uri="{FF2B5EF4-FFF2-40B4-BE49-F238E27FC236}">
              <a16:creationId xmlns:a16="http://schemas.microsoft.com/office/drawing/2014/main" id="{00000000-0008-0000-0C00-00000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7" name="CustomShape 1">
          <a:extLst>
            <a:ext uri="{FF2B5EF4-FFF2-40B4-BE49-F238E27FC236}">
              <a16:creationId xmlns:a16="http://schemas.microsoft.com/office/drawing/2014/main" id="{00000000-0008-0000-0C00-00000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8" name="CustomShape 1">
          <a:extLst>
            <a:ext uri="{FF2B5EF4-FFF2-40B4-BE49-F238E27FC236}">
              <a16:creationId xmlns:a16="http://schemas.microsoft.com/office/drawing/2014/main" id="{00000000-0008-0000-0C00-00000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59" name="CustomShape 1">
          <a:extLst>
            <a:ext uri="{FF2B5EF4-FFF2-40B4-BE49-F238E27FC236}">
              <a16:creationId xmlns:a16="http://schemas.microsoft.com/office/drawing/2014/main" id="{00000000-0008-0000-0C00-00000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0" name="CustomShape 1">
          <a:extLst>
            <a:ext uri="{FF2B5EF4-FFF2-40B4-BE49-F238E27FC236}">
              <a16:creationId xmlns:a16="http://schemas.microsoft.com/office/drawing/2014/main" id="{00000000-0008-0000-0C00-00000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1" name="CustomShape 1">
          <a:extLst>
            <a:ext uri="{FF2B5EF4-FFF2-40B4-BE49-F238E27FC236}">
              <a16:creationId xmlns:a16="http://schemas.microsoft.com/office/drawing/2014/main" id="{00000000-0008-0000-0C00-00000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2" name="CustomShape 1">
          <a:extLst>
            <a:ext uri="{FF2B5EF4-FFF2-40B4-BE49-F238E27FC236}">
              <a16:creationId xmlns:a16="http://schemas.microsoft.com/office/drawing/2014/main" id="{00000000-0008-0000-0C00-00000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3" name="CustomShape 1">
          <a:extLst>
            <a:ext uri="{FF2B5EF4-FFF2-40B4-BE49-F238E27FC236}">
              <a16:creationId xmlns:a16="http://schemas.microsoft.com/office/drawing/2014/main" id="{00000000-0008-0000-0C00-00000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4" name="CustomShape 1">
          <a:extLst>
            <a:ext uri="{FF2B5EF4-FFF2-40B4-BE49-F238E27FC236}">
              <a16:creationId xmlns:a16="http://schemas.microsoft.com/office/drawing/2014/main" id="{00000000-0008-0000-0C00-00000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5" name="CustomShape 1">
          <a:extLst>
            <a:ext uri="{FF2B5EF4-FFF2-40B4-BE49-F238E27FC236}">
              <a16:creationId xmlns:a16="http://schemas.microsoft.com/office/drawing/2014/main" id="{00000000-0008-0000-0C00-00000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6" name="CustomShape 1">
          <a:extLst>
            <a:ext uri="{FF2B5EF4-FFF2-40B4-BE49-F238E27FC236}">
              <a16:creationId xmlns:a16="http://schemas.microsoft.com/office/drawing/2014/main" id="{00000000-0008-0000-0C00-00000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7" name="CustomShape 1">
          <a:extLst>
            <a:ext uri="{FF2B5EF4-FFF2-40B4-BE49-F238E27FC236}">
              <a16:creationId xmlns:a16="http://schemas.microsoft.com/office/drawing/2014/main" id="{00000000-0008-0000-0C00-00000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8" name="CustomShape 1">
          <a:extLst>
            <a:ext uri="{FF2B5EF4-FFF2-40B4-BE49-F238E27FC236}">
              <a16:creationId xmlns:a16="http://schemas.microsoft.com/office/drawing/2014/main" id="{00000000-0008-0000-0C00-00000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69" name="CustomShape 1">
          <a:extLst>
            <a:ext uri="{FF2B5EF4-FFF2-40B4-BE49-F238E27FC236}">
              <a16:creationId xmlns:a16="http://schemas.microsoft.com/office/drawing/2014/main" id="{00000000-0008-0000-0C00-00000D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0" name="CustomShape 1">
          <a:extLst>
            <a:ext uri="{FF2B5EF4-FFF2-40B4-BE49-F238E27FC236}">
              <a16:creationId xmlns:a16="http://schemas.microsoft.com/office/drawing/2014/main" id="{00000000-0008-0000-0C00-00000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1" name="CustomShape 1">
          <a:extLst>
            <a:ext uri="{FF2B5EF4-FFF2-40B4-BE49-F238E27FC236}">
              <a16:creationId xmlns:a16="http://schemas.microsoft.com/office/drawing/2014/main" id="{00000000-0008-0000-0C00-00000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2" name="CustomShape 1">
          <a:extLst>
            <a:ext uri="{FF2B5EF4-FFF2-40B4-BE49-F238E27FC236}">
              <a16:creationId xmlns:a16="http://schemas.microsoft.com/office/drawing/2014/main" id="{00000000-0008-0000-0C00-00001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3" name="CustomShape 1">
          <a:extLst>
            <a:ext uri="{FF2B5EF4-FFF2-40B4-BE49-F238E27FC236}">
              <a16:creationId xmlns:a16="http://schemas.microsoft.com/office/drawing/2014/main" id="{00000000-0008-0000-0C00-00001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4" name="CustomShape 1">
          <a:extLst>
            <a:ext uri="{FF2B5EF4-FFF2-40B4-BE49-F238E27FC236}">
              <a16:creationId xmlns:a16="http://schemas.microsoft.com/office/drawing/2014/main" id="{00000000-0008-0000-0C00-00001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5" name="CustomShape 1">
          <a:extLst>
            <a:ext uri="{FF2B5EF4-FFF2-40B4-BE49-F238E27FC236}">
              <a16:creationId xmlns:a16="http://schemas.microsoft.com/office/drawing/2014/main" id="{00000000-0008-0000-0C00-00001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6" name="CustomShape 1">
          <a:extLst>
            <a:ext uri="{FF2B5EF4-FFF2-40B4-BE49-F238E27FC236}">
              <a16:creationId xmlns:a16="http://schemas.microsoft.com/office/drawing/2014/main" id="{00000000-0008-0000-0C00-00001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7" name="CustomShape 1">
          <a:extLst>
            <a:ext uri="{FF2B5EF4-FFF2-40B4-BE49-F238E27FC236}">
              <a16:creationId xmlns:a16="http://schemas.microsoft.com/office/drawing/2014/main" id="{00000000-0008-0000-0C00-00001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8" name="CustomShape 1">
          <a:extLst>
            <a:ext uri="{FF2B5EF4-FFF2-40B4-BE49-F238E27FC236}">
              <a16:creationId xmlns:a16="http://schemas.microsoft.com/office/drawing/2014/main" id="{00000000-0008-0000-0C00-00001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79" name="CustomShape 1">
          <a:extLst>
            <a:ext uri="{FF2B5EF4-FFF2-40B4-BE49-F238E27FC236}">
              <a16:creationId xmlns:a16="http://schemas.microsoft.com/office/drawing/2014/main" id="{00000000-0008-0000-0C00-00001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0" name="CustomShape 1">
          <a:extLst>
            <a:ext uri="{FF2B5EF4-FFF2-40B4-BE49-F238E27FC236}">
              <a16:creationId xmlns:a16="http://schemas.microsoft.com/office/drawing/2014/main" id="{00000000-0008-0000-0C00-00001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1" name="CustomShape 1">
          <a:extLst>
            <a:ext uri="{FF2B5EF4-FFF2-40B4-BE49-F238E27FC236}">
              <a16:creationId xmlns:a16="http://schemas.microsoft.com/office/drawing/2014/main" id="{00000000-0008-0000-0C00-00001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2" name="CustomShape 1">
          <a:extLst>
            <a:ext uri="{FF2B5EF4-FFF2-40B4-BE49-F238E27FC236}">
              <a16:creationId xmlns:a16="http://schemas.microsoft.com/office/drawing/2014/main" id="{00000000-0008-0000-0C00-00001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3" name="CustomShape 1">
          <a:extLst>
            <a:ext uri="{FF2B5EF4-FFF2-40B4-BE49-F238E27FC236}">
              <a16:creationId xmlns:a16="http://schemas.microsoft.com/office/drawing/2014/main" id="{00000000-0008-0000-0C00-00001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4" name="CustomShape 1">
          <a:extLst>
            <a:ext uri="{FF2B5EF4-FFF2-40B4-BE49-F238E27FC236}">
              <a16:creationId xmlns:a16="http://schemas.microsoft.com/office/drawing/2014/main" id="{00000000-0008-0000-0C00-00001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117360</xdr:colOff>
      <xdr:row>38</xdr:row>
      <xdr:rowOff>98640</xdr:rowOff>
    </xdr:from>
    <xdr:to>
      <xdr:col>4</xdr:col>
      <xdr:colOff>196920</xdr:colOff>
      <xdr:row>40</xdr:row>
      <xdr:rowOff>30240</xdr:rowOff>
    </xdr:to>
    <xdr:sp macro="" textlink="">
      <xdr:nvSpPr>
        <xdr:cNvPr id="285" name="CustomShape 1">
          <a:extLst>
            <a:ext uri="{FF2B5EF4-FFF2-40B4-BE49-F238E27FC236}">
              <a16:creationId xmlns:a16="http://schemas.microsoft.com/office/drawing/2014/main" id="{00000000-0008-0000-0C00-00001D010000}"/>
            </a:ext>
          </a:extLst>
        </xdr:cNvPr>
        <xdr:cNvSpPr/>
      </xdr:nvSpPr>
      <xdr:spPr>
        <a:xfrm>
          <a:off x="4498560" y="7362360"/>
          <a:ext cx="7956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6" name="CustomShape 1">
          <a:extLst>
            <a:ext uri="{FF2B5EF4-FFF2-40B4-BE49-F238E27FC236}">
              <a16:creationId xmlns:a16="http://schemas.microsoft.com/office/drawing/2014/main" id="{00000000-0008-0000-0C00-00001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7" name="CustomShape 1">
          <a:extLst>
            <a:ext uri="{FF2B5EF4-FFF2-40B4-BE49-F238E27FC236}">
              <a16:creationId xmlns:a16="http://schemas.microsoft.com/office/drawing/2014/main" id="{00000000-0008-0000-0C00-00001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8" name="CustomShape 1">
          <a:extLst>
            <a:ext uri="{FF2B5EF4-FFF2-40B4-BE49-F238E27FC236}">
              <a16:creationId xmlns:a16="http://schemas.microsoft.com/office/drawing/2014/main" id="{00000000-0008-0000-0C00-00002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89" name="CustomShape 1">
          <a:extLst>
            <a:ext uri="{FF2B5EF4-FFF2-40B4-BE49-F238E27FC236}">
              <a16:creationId xmlns:a16="http://schemas.microsoft.com/office/drawing/2014/main" id="{00000000-0008-0000-0C00-00002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0" name="CustomShape 1">
          <a:extLst>
            <a:ext uri="{FF2B5EF4-FFF2-40B4-BE49-F238E27FC236}">
              <a16:creationId xmlns:a16="http://schemas.microsoft.com/office/drawing/2014/main" id="{00000000-0008-0000-0C00-00002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1" name="CustomShape 1">
          <a:extLst>
            <a:ext uri="{FF2B5EF4-FFF2-40B4-BE49-F238E27FC236}">
              <a16:creationId xmlns:a16="http://schemas.microsoft.com/office/drawing/2014/main" id="{00000000-0008-0000-0C00-00002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2" name="CustomShape 1">
          <a:extLst>
            <a:ext uri="{FF2B5EF4-FFF2-40B4-BE49-F238E27FC236}">
              <a16:creationId xmlns:a16="http://schemas.microsoft.com/office/drawing/2014/main" id="{00000000-0008-0000-0C00-00002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3" name="CustomShape 1">
          <a:extLst>
            <a:ext uri="{FF2B5EF4-FFF2-40B4-BE49-F238E27FC236}">
              <a16:creationId xmlns:a16="http://schemas.microsoft.com/office/drawing/2014/main" id="{00000000-0008-0000-0C00-00002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41400</xdr:colOff>
      <xdr:row>38</xdr:row>
      <xdr:rowOff>98640</xdr:rowOff>
    </xdr:from>
    <xdr:to>
      <xdr:col>4</xdr:col>
      <xdr:colOff>87480</xdr:colOff>
      <xdr:row>40</xdr:row>
      <xdr:rowOff>30240</xdr:rowOff>
    </xdr:to>
    <xdr:sp macro="" textlink="">
      <xdr:nvSpPr>
        <xdr:cNvPr id="294" name="CustomShape 1">
          <a:extLst>
            <a:ext uri="{FF2B5EF4-FFF2-40B4-BE49-F238E27FC236}">
              <a16:creationId xmlns:a16="http://schemas.microsoft.com/office/drawing/2014/main" id="{00000000-0008-0000-0C00-000026010000}"/>
            </a:ext>
          </a:extLst>
        </xdr:cNvPr>
        <xdr:cNvSpPr/>
      </xdr:nvSpPr>
      <xdr:spPr>
        <a:xfrm>
          <a:off x="4422600" y="7362360"/>
          <a:ext cx="4608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5" name="CustomShape 1">
          <a:extLst>
            <a:ext uri="{FF2B5EF4-FFF2-40B4-BE49-F238E27FC236}">
              <a16:creationId xmlns:a16="http://schemas.microsoft.com/office/drawing/2014/main" id="{00000000-0008-0000-0C00-00002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6" name="CustomShape 1">
          <a:extLst>
            <a:ext uri="{FF2B5EF4-FFF2-40B4-BE49-F238E27FC236}">
              <a16:creationId xmlns:a16="http://schemas.microsoft.com/office/drawing/2014/main" id="{00000000-0008-0000-0C00-00002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7" name="CustomShape 1">
          <a:extLst>
            <a:ext uri="{FF2B5EF4-FFF2-40B4-BE49-F238E27FC236}">
              <a16:creationId xmlns:a16="http://schemas.microsoft.com/office/drawing/2014/main" id="{00000000-0008-0000-0C00-00002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8" name="CustomShape 1">
          <a:extLst>
            <a:ext uri="{FF2B5EF4-FFF2-40B4-BE49-F238E27FC236}">
              <a16:creationId xmlns:a16="http://schemas.microsoft.com/office/drawing/2014/main" id="{00000000-0008-0000-0C00-00002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299" name="CustomShape 1">
          <a:extLst>
            <a:ext uri="{FF2B5EF4-FFF2-40B4-BE49-F238E27FC236}">
              <a16:creationId xmlns:a16="http://schemas.microsoft.com/office/drawing/2014/main" id="{00000000-0008-0000-0C00-00002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0" name="CustomShape 1">
          <a:extLst>
            <a:ext uri="{FF2B5EF4-FFF2-40B4-BE49-F238E27FC236}">
              <a16:creationId xmlns:a16="http://schemas.microsoft.com/office/drawing/2014/main" id="{00000000-0008-0000-0C00-00002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1" name="CustomShape 1">
          <a:extLst>
            <a:ext uri="{FF2B5EF4-FFF2-40B4-BE49-F238E27FC236}">
              <a16:creationId xmlns:a16="http://schemas.microsoft.com/office/drawing/2014/main" id="{00000000-0008-0000-0C00-00002D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2" name="CustomShape 1">
          <a:extLst>
            <a:ext uri="{FF2B5EF4-FFF2-40B4-BE49-F238E27FC236}">
              <a16:creationId xmlns:a16="http://schemas.microsoft.com/office/drawing/2014/main" id="{00000000-0008-0000-0C00-00002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3" name="CustomShape 1">
          <a:extLst>
            <a:ext uri="{FF2B5EF4-FFF2-40B4-BE49-F238E27FC236}">
              <a16:creationId xmlns:a16="http://schemas.microsoft.com/office/drawing/2014/main" id="{00000000-0008-0000-0C00-00002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4" name="CustomShape 1">
          <a:extLst>
            <a:ext uri="{FF2B5EF4-FFF2-40B4-BE49-F238E27FC236}">
              <a16:creationId xmlns:a16="http://schemas.microsoft.com/office/drawing/2014/main" id="{00000000-0008-0000-0C00-00003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5" name="CustomShape 1">
          <a:extLst>
            <a:ext uri="{FF2B5EF4-FFF2-40B4-BE49-F238E27FC236}">
              <a16:creationId xmlns:a16="http://schemas.microsoft.com/office/drawing/2014/main" id="{00000000-0008-0000-0C00-00003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6" name="CustomShape 1">
          <a:extLst>
            <a:ext uri="{FF2B5EF4-FFF2-40B4-BE49-F238E27FC236}">
              <a16:creationId xmlns:a16="http://schemas.microsoft.com/office/drawing/2014/main" id="{00000000-0008-0000-0C00-00003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7" name="CustomShape 1">
          <a:extLst>
            <a:ext uri="{FF2B5EF4-FFF2-40B4-BE49-F238E27FC236}">
              <a16:creationId xmlns:a16="http://schemas.microsoft.com/office/drawing/2014/main" id="{00000000-0008-0000-0C00-00003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8" name="CustomShape 1">
          <a:extLst>
            <a:ext uri="{FF2B5EF4-FFF2-40B4-BE49-F238E27FC236}">
              <a16:creationId xmlns:a16="http://schemas.microsoft.com/office/drawing/2014/main" id="{00000000-0008-0000-0C00-00003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09" name="CustomShape 1">
          <a:extLst>
            <a:ext uri="{FF2B5EF4-FFF2-40B4-BE49-F238E27FC236}">
              <a16:creationId xmlns:a16="http://schemas.microsoft.com/office/drawing/2014/main" id="{00000000-0008-0000-0C00-00003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0" name="CustomShape 1">
          <a:extLst>
            <a:ext uri="{FF2B5EF4-FFF2-40B4-BE49-F238E27FC236}">
              <a16:creationId xmlns:a16="http://schemas.microsoft.com/office/drawing/2014/main" id="{00000000-0008-0000-0C00-00003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1" name="CustomShape 1">
          <a:extLst>
            <a:ext uri="{FF2B5EF4-FFF2-40B4-BE49-F238E27FC236}">
              <a16:creationId xmlns:a16="http://schemas.microsoft.com/office/drawing/2014/main" id="{00000000-0008-0000-0C00-00003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2" name="CustomShape 1">
          <a:extLst>
            <a:ext uri="{FF2B5EF4-FFF2-40B4-BE49-F238E27FC236}">
              <a16:creationId xmlns:a16="http://schemas.microsoft.com/office/drawing/2014/main" id="{00000000-0008-0000-0C00-00003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3" name="CustomShape 1">
          <a:extLst>
            <a:ext uri="{FF2B5EF4-FFF2-40B4-BE49-F238E27FC236}">
              <a16:creationId xmlns:a16="http://schemas.microsoft.com/office/drawing/2014/main" id="{00000000-0008-0000-0C00-00003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4" name="CustomShape 1">
          <a:extLst>
            <a:ext uri="{FF2B5EF4-FFF2-40B4-BE49-F238E27FC236}">
              <a16:creationId xmlns:a16="http://schemas.microsoft.com/office/drawing/2014/main" id="{00000000-0008-0000-0C00-00003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5" name="CustomShape 1">
          <a:extLst>
            <a:ext uri="{FF2B5EF4-FFF2-40B4-BE49-F238E27FC236}">
              <a16:creationId xmlns:a16="http://schemas.microsoft.com/office/drawing/2014/main" id="{00000000-0008-0000-0C00-00003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6" name="CustomShape 1">
          <a:extLst>
            <a:ext uri="{FF2B5EF4-FFF2-40B4-BE49-F238E27FC236}">
              <a16:creationId xmlns:a16="http://schemas.microsoft.com/office/drawing/2014/main" id="{00000000-0008-0000-0C00-00003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7" name="CustomShape 1">
          <a:extLst>
            <a:ext uri="{FF2B5EF4-FFF2-40B4-BE49-F238E27FC236}">
              <a16:creationId xmlns:a16="http://schemas.microsoft.com/office/drawing/2014/main" id="{00000000-0008-0000-0C00-00003D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8" name="CustomShape 1">
          <a:extLst>
            <a:ext uri="{FF2B5EF4-FFF2-40B4-BE49-F238E27FC236}">
              <a16:creationId xmlns:a16="http://schemas.microsoft.com/office/drawing/2014/main" id="{00000000-0008-0000-0C00-00003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19" name="CustomShape 1">
          <a:extLst>
            <a:ext uri="{FF2B5EF4-FFF2-40B4-BE49-F238E27FC236}">
              <a16:creationId xmlns:a16="http://schemas.microsoft.com/office/drawing/2014/main" id="{00000000-0008-0000-0C00-00003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0" name="CustomShape 1">
          <a:extLst>
            <a:ext uri="{FF2B5EF4-FFF2-40B4-BE49-F238E27FC236}">
              <a16:creationId xmlns:a16="http://schemas.microsoft.com/office/drawing/2014/main" id="{00000000-0008-0000-0C00-00004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1" name="CustomShape 1">
          <a:extLst>
            <a:ext uri="{FF2B5EF4-FFF2-40B4-BE49-F238E27FC236}">
              <a16:creationId xmlns:a16="http://schemas.microsoft.com/office/drawing/2014/main" id="{00000000-0008-0000-0C00-00004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2" name="CustomShape 1">
          <a:extLst>
            <a:ext uri="{FF2B5EF4-FFF2-40B4-BE49-F238E27FC236}">
              <a16:creationId xmlns:a16="http://schemas.microsoft.com/office/drawing/2014/main" id="{00000000-0008-0000-0C00-00004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3" name="CustomShape 1">
          <a:extLst>
            <a:ext uri="{FF2B5EF4-FFF2-40B4-BE49-F238E27FC236}">
              <a16:creationId xmlns:a16="http://schemas.microsoft.com/office/drawing/2014/main" id="{00000000-0008-0000-0C00-00004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4" name="CustomShape 1">
          <a:extLst>
            <a:ext uri="{FF2B5EF4-FFF2-40B4-BE49-F238E27FC236}">
              <a16:creationId xmlns:a16="http://schemas.microsoft.com/office/drawing/2014/main" id="{00000000-0008-0000-0C00-00004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5" name="CustomShape 1">
          <a:extLst>
            <a:ext uri="{FF2B5EF4-FFF2-40B4-BE49-F238E27FC236}">
              <a16:creationId xmlns:a16="http://schemas.microsoft.com/office/drawing/2014/main" id="{00000000-0008-0000-0C00-00004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6" name="CustomShape 1">
          <a:extLst>
            <a:ext uri="{FF2B5EF4-FFF2-40B4-BE49-F238E27FC236}">
              <a16:creationId xmlns:a16="http://schemas.microsoft.com/office/drawing/2014/main" id="{00000000-0008-0000-0C00-00004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7" name="CustomShape 1">
          <a:extLst>
            <a:ext uri="{FF2B5EF4-FFF2-40B4-BE49-F238E27FC236}">
              <a16:creationId xmlns:a16="http://schemas.microsoft.com/office/drawing/2014/main" id="{00000000-0008-0000-0C00-00004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8" name="CustomShape 1">
          <a:extLst>
            <a:ext uri="{FF2B5EF4-FFF2-40B4-BE49-F238E27FC236}">
              <a16:creationId xmlns:a16="http://schemas.microsoft.com/office/drawing/2014/main" id="{00000000-0008-0000-0C00-00004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29" name="CustomShape 1">
          <a:extLst>
            <a:ext uri="{FF2B5EF4-FFF2-40B4-BE49-F238E27FC236}">
              <a16:creationId xmlns:a16="http://schemas.microsoft.com/office/drawing/2014/main" id="{00000000-0008-0000-0C00-00004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0" name="CustomShape 1">
          <a:extLst>
            <a:ext uri="{FF2B5EF4-FFF2-40B4-BE49-F238E27FC236}">
              <a16:creationId xmlns:a16="http://schemas.microsoft.com/office/drawing/2014/main" id="{00000000-0008-0000-0C00-00004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1" name="CustomShape 1">
          <a:extLst>
            <a:ext uri="{FF2B5EF4-FFF2-40B4-BE49-F238E27FC236}">
              <a16:creationId xmlns:a16="http://schemas.microsoft.com/office/drawing/2014/main" id="{00000000-0008-0000-0C00-00004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2" name="CustomShape 1">
          <a:extLst>
            <a:ext uri="{FF2B5EF4-FFF2-40B4-BE49-F238E27FC236}">
              <a16:creationId xmlns:a16="http://schemas.microsoft.com/office/drawing/2014/main" id="{00000000-0008-0000-0C00-00004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3" name="CustomShape 1">
          <a:extLst>
            <a:ext uri="{FF2B5EF4-FFF2-40B4-BE49-F238E27FC236}">
              <a16:creationId xmlns:a16="http://schemas.microsoft.com/office/drawing/2014/main" id="{00000000-0008-0000-0C00-00004D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4" name="CustomShape 1">
          <a:extLst>
            <a:ext uri="{FF2B5EF4-FFF2-40B4-BE49-F238E27FC236}">
              <a16:creationId xmlns:a16="http://schemas.microsoft.com/office/drawing/2014/main" id="{00000000-0008-0000-0C00-00004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5" name="CustomShape 1">
          <a:extLst>
            <a:ext uri="{FF2B5EF4-FFF2-40B4-BE49-F238E27FC236}">
              <a16:creationId xmlns:a16="http://schemas.microsoft.com/office/drawing/2014/main" id="{00000000-0008-0000-0C00-00004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6" name="CustomShape 1">
          <a:extLst>
            <a:ext uri="{FF2B5EF4-FFF2-40B4-BE49-F238E27FC236}">
              <a16:creationId xmlns:a16="http://schemas.microsoft.com/office/drawing/2014/main" id="{00000000-0008-0000-0C00-00005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7" name="CustomShape 1">
          <a:extLst>
            <a:ext uri="{FF2B5EF4-FFF2-40B4-BE49-F238E27FC236}">
              <a16:creationId xmlns:a16="http://schemas.microsoft.com/office/drawing/2014/main" id="{00000000-0008-0000-0C00-00005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8" name="CustomShape 1">
          <a:extLst>
            <a:ext uri="{FF2B5EF4-FFF2-40B4-BE49-F238E27FC236}">
              <a16:creationId xmlns:a16="http://schemas.microsoft.com/office/drawing/2014/main" id="{00000000-0008-0000-0C00-00005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39" name="CustomShape 1">
          <a:extLst>
            <a:ext uri="{FF2B5EF4-FFF2-40B4-BE49-F238E27FC236}">
              <a16:creationId xmlns:a16="http://schemas.microsoft.com/office/drawing/2014/main" id="{00000000-0008-0000-0C00-00005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0" name="CustomShape 1">
          <a:extLst>
            <a:ext uri="{FF2B5EF4-FFF2-40B4-BE49-F238E27FC236}">
              <a16:creationId xmlns:a16="http://schemas.microsoft.com/office/drawing/2014/main" id="{00000000-0008-0000-0C00-00005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1" name="CustomShape 1">
          <a:extLst>
            <a:ext uri="{FF2B5EF4-FFF2-40B4-BE49-F238E27FC236}">
              <a16:creationId xmlns:a16="http://schemas.microsoft.com/office/drawing/2014/main" id="{00000000-0008-0000-0C00-00005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2" name="CustomShape 1">
          <a:extLst>
            <a:ext uri="{FF2B5EF4-FFF2-40B4-BE49-F238E27FC236}">
              <a16:creationId xmlns:a16="http://schemas.microsoft.com/office/drawing/2014/main" id="{00000000-0008-0000-0C00-00005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3" name="CustomShape 1">
          <a:extLst>
            <a:ext uri="{FF2B5EF4-FFF2-40B4-BE49-F238E27FC236}">
              <a16:creationId xmlns:a16="http://schemas.microsoft.com/office/drawing/2014/main" id="{00000000-0008-0000-0C00-00005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4" name="CustomShape 1">
          <a:extLst>
            <a:ext uri="{FF2B5EF4-FFF2-40B4-BE49-F238E27FC236}">
              <a16:creationId xmlns:a16="http://schemas.microsoft.com/office/drawing/2014/main" id="{00000000-0008-0000-0C00-00005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5" name="CustomShape 1">
          <a:extLst>
            <a:ext uri="{FF2B5EF4-FFF2-40B4-BE49-F238E27FC236}">
              <a16:creationId xmlns:a16="http://schemas.microsoft.com/office/drawing/2014/main" id="{00000000-0008-0000-0C00-00005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6" name="CustomShape 1">
          <a:extLst>
            <a:ext uri="{FF2B5EF4-FFF2-40B4-BE49-F238E27FC236}">
              <a16:creationId xmlns:a16="http://schemas.microsoft.com/office/drawing/2014/main" id="{00000000-0008-0000-0C00-00005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7" name="CustomShape 1">
          <a:extLst>
            <a:ext uri="{FF2B5EF4-FFF2-40B4-BE49-F238E27FC236}">
              <a16:creationId xmlns:a16="http://schemas.microsoft.com/office/drawing/2014/main" id="{00000000-0008-0000-0C00-00005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8" name="CustomShape 1">
          <a:extLst>
            <a:ext uri="{FF2B5EF4-FFF2-40B4-BE49-F238E27FC236}">
              <a16:creationId xmlns:a16="http://schemas.microsoft.com/office/drawing/2014/main" id="{00000000-0008-0000-0C00-00005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49" name="CustomShape 1">
          <a:extLst>
            <a:ext uri="{FF2B5EF4-FFF2-40B4-BE49-F238E27FC236}">
              <a16:creationId xmlns:a16="http://schemas.microsoft.com/office/drawing/2014/main" id="{00000000-0008-0000-0C00-00005D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0" name="CustomShape 1">
          <a:extLst>
            <a:ext uri="{FF2B5EF4-FFF2-40B4-BE49-F238E27FC236}">
              <a16:creationId xmlns:a16="http://schemas.microsoft.com/office/drawing/2014/main" id="{00000000-0008-0000-0C00-00005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1" name="CustomShape 1">
          <a:extLst>
            <a:ext uri="{FF2B5EF4-FFF2-40B4-BE49-F238E27FC236}">
              <a16:creationId xmlns:a16="http://schemas.microsoft.com/office/drawing/2014/main" id="{00000000-0008-0000-0C00-00005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2" name="CustomShape 1">
          <a:extLst>
            <a:ext uri="{FF2B5EF4-FFF2-40B4-BE49-F238E27FC236}">
              <a16:creationId xmlns:a16="http://schemas.microsoft.com/office/drawing/2014/main" id="{00000000-0008-0000-0C00-00006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3" name="CustomShape 1">
          <a:extLst>
            <a:ext uri="{FF2B5EF4-FFF2-40B4-BE49-F238E27FC236}">
              <a16:creationId xmlns:a16="http://schemas.microsoft.com/office/drawing/2014/main" id="{00000000-0008-0000-0C00-00006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4" name="CustomShape 1">
          <a:extLst>
            <a:ext uri="{FF2B5EF4-FFF2-40B4-BE49-F238E27FC236}">
              <a16:creationId xmlns:a16="http://schemas.microsoft.com/office/drawing/2014/main" id="{00000000-0008-0000-0C00-00006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5" name="CustomShape 1">
          <a:extLst>
            <a:ext uri="{FF2B5EF4-FFF2-40B4-BE49-F238E27FC236}">
              <a16:creationId xmlns:a16="http://schemas.microsoft.com/office/drawing/2014/main" id="{00000000-0008-0000-0C00-00006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6" name="CustomShape 1">
          <a:extLst>
            <a:ext uri="{FF2B5EF4-FFF2-40B4-BE49-F238E27FC236}">
              <a16:creationId xmlns:a16="http://schemas.microsoft.com/office/drawing/2014/main" id="{00000000-0008-0000-0C00-00006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7" name="CustomShape 1">
          <a:extLst>
            <a:ext uri="{FF2B5EF4-FFF2-40B4-BE49-F238E27FC236}">
              <a16:creationId xmlns:a16="http://schemas.microsoft.com/office/drawing/2014/main" id="{00000000-0008-0000-0C00-00006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8" name="CustomShape 1">
          <a:extLst>
            <a:ext uri="{FF2B5EF4-FFF2-40B4-BE49-F238E27FC236}">
              <a16:creationId xmlns:a16="http://schemas.microsoft.com/office/drawing/2014/main" id="{00000000-0008-0000-0C00-00006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59" name="CustomShape 1">
          <a:extLst>
            <a:ext uri="{FF2B5EF4-FFF2-40B4-BE49-F238E27FC236}">
              <a16:creationId xmlns:a16="http://schemas.microsoft.com/office/drawing/2014/main" id="{00000000-0008-0000-0C00-00006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0" name="CustomShape 1">
          <a:extLst>
            <a:ext uri="{FF2B5EF4-FFF2-40B4-BE49-F238E27FC236}">
              <a16:creationId xmlns:a16="http://schemas.microsoft.com/office/drawing/2014/main" id="{00000000-0008-0000-0C00-00006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1" name="CustomShape 1">
          <a:extLst>
            <a:ext uri="{FF2B5EF4-FFF2-40B4-BE49-F238E27FC236}">
              <a16:creationId xmlns:a16="http://schemas.microsoft.com/office/drawing/2014/main" id="{00000000-0008-0000-0C00-00006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2" name="CustomShape 1">
          <a:extLst>
            <a:ext uri="{FF2B5EF4-FFF2-40B4-BE49-F238E27FC236}">
              <a16:creationId xmlns:a16="http://schemas.microsoft.com/office/drawing/2014/main" id="{00000000-0008-0000-0C00-00006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3" name="CustomShape 1">
          <a:extLst>
            <a:ext uri="{FF2B5EF4-FFF2-40B4-BE49-F238E27FC236}">
              <a16:creationId xmlns:a16="http://schemas.microsoft.com/office/drawing/2014/main" id="{00000000-0008-0000-0C00-00006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4" name="CustomShape 1">
          <a:extLst>
            <a:ext uri="{FF2B5EF4-FFF2-40B4-BE49-F238E27FC236}">
              <a16:creationId xmlns:a16="http://schemas.microsoft.com/office/drawing/2014/main" id="{00000000-0008-0000-0C00-00006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117360</xdr:colOff>
      <xdr:row>38</xdr:row>
      <xdr:rowOff>98640</xdr:rowOff>
    </xdr:from>
    <xdr:to>
      <xdr:col>4</xdr:col>
      <xdr:colOff>196920</xdr:colOff>
      <xdr:row>40</xdr:row>
      <xdr:rowOff>30240</xdr:rowOff>
    </xdr:to>
    <xdr:sp macro="" textlink="">
      <xdr:nvSpPr>
        <xdr:cNvPr id="365" name="CustomShape 1">
          <a:extLst>
            <a:ext uri="{FF2B5EF4-FFF2-40B4-BE49-F238E27FC236}">
              <a16:creationId xmlns:a16="http://schemas.microsoft.com/office/drawing/2014/main" id="{00000000-0008-0000-0C00-00006D010000}"/>
            </a:ext>
          </a:extLst>
        </xdr:cNvPr>
        <xdr:cNvSpPr/>
      </xdr:nvSpPr>
      <xdr:spPr>
        <a:xfrm>
          <a:off x="4498560" y="7362360"/>
          <a:ext cx="7956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6" name="CustomShape 1">
          <a:extLst>
            <a:ext uri="{FF2B5EF4-FFF2-40B4-BE49-F238E27FC236}">
              <a16:creationId xmlns:a16="http://schemas.microsoft.com/office/drawing/2014/main" id="{00000000-0008-0000-0C00-00006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41400</xdr:colOff>
      <xdr:row>38</xdr:row>
      <xdr:rowOff>98640</xdr:rowOff>
    </xdr:from>
    <xdr:to>
      <xdr:col>4</xdr:col>
      <xdr:colOff>87480</xdr:colOff>
      <xdr:row>40</xdr:row>
      <xdr:rowOff>30240</xdr:rowOff>
    </xdr:to>
    <xdr:sp macro="" textlink="">
      <xdr:nvSpPr>
        <xdr:cNvPr id="367" name="CustomShape 1">
          <a:extLst>
            <a:ext uri="{FF2B5EF4-FFF2-40B4-BE49-F238E27FC236}">
              <a16:creationId xmlns:a16="http://schemas.microsoft.com/office/drawing/2014/main" id="{00000000-0008-0000-0C00-00006F010000}"/>
            </a:ext>
          </a:extLst>
        </xdr:cNvPr>
        <xdr:cNvSpPr/>
      </xdr:nvSpPr>
      <xdr:spPr>
        <a:xfrm>
          <a:off x="4422600" y="7362360"/>
          <a:ext cx="4608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8" name="CustomShape 1">
          <a:extLst>
            <a:ext uri="{FF2B5EF4-FFF2-40B4-BE49-F238E27FC236}">
              <a16:creationId xmlns:a16="http://schemas.microsoft.com/office/drawing/2014/main" id="{00000000-0008-0000-0C00-00007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69" name="CustomShape 1">
          <a:extLst>
            <a:ext uri="{FF2B5EF4-FFF2-40B4-BE49-F238E27FC236}">
              <a16:creationId xmlns:a16="http://schemas.microsoft.com/office/drawing/2014/main" id="{00000000-0008-0000-0C00-00007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0" name="CustomShape 1">
          <a:extLst>
            <a:ext uri="{FF2B5EF4-FFF2-40B4-BE49-F238E27FC236}">
              <a16:creationId xmlns:a16="http://schemas.microsoft.com/office/drawing/2014/main" id="{00000000-0008-0000-0C00-00007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1" name="CustomShape 1">
          <a:extLst>
            <a:ext uri="{FF2B5EF4-FFF2-40B4-BE49-F238E27FC236}">
              <a16:creationId xmlns:a16="http://schemas.microsoft.com/office/drawing/2014/main" id="{00000000-0008-0000-0C00-00007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2" name="CustomShape 1">
          <a:extLst>
            <a:ext uri="{FF2B5EF4-FFF2-40B4-BE49-F238E27FC236}">
              <a16:creationId xmlns:a16="http://schemas.microsoft.com/office/drawing/2014/main" id="{00000000-0008-0000-0C00-00007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3" name="CustomShape 1">
          <a:extLst>
            <a:ext uri="{FF2B5EF4-FFF2-40B4-BE49-F238E27FC236}">
              <a16:creationId xmlns:a16="http://schemas.microsoft.com/office/drawing/2014/main" id="{00000000-0008-0000-0C00-00007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4" name="CustomShape 1">
          <a:extLst>
            <a:ext uri="{FF2B5EF4-FFF2-40B4-BE49-F238E27FC236}">
              <a16:creationId xmlns:a16="http://schemas.microsoft.com/office/drawing/2014/main" id="{00000000-0008-0000-0C00-00007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5" name="CustomShape 1">
          <a:extLst>
            <a:ext uri="{FF2B5EF4-FFF2-40B4-BE49-F238E27FC236}">
              <a16:creationId xmlns:a16="http://schemas.microsoft.com/office/drawing/2014/main" id="{00000000-0008-0000-0C00-00007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6" name="CustomShape 1">
          <a:extLst>
            <a:ext uri="{FF2B5EF4-FFF2-40B4-BE49-F238E27FC236}">
              <a16:creationId xmlns:a16="http://schemas.microsoft.com/office/drawing/2014/main" id="{00000000-0008-0000-0C00-00007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7" name="CustomShape 1">
          <a:extLst>
            <a:ext uri="{FF2B5EF4-FFF2-40B4-BE49-F238E27FC236}">
              <a16:creationId xmlns:a16="http://schemas.microsoft.com/office/drawing/2014/main" id="{00000000-0008-0000-0C00-00007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8" name="CustomShape 1">
          <a:extLst>
            <a:ext uri="{FF2B5EF4-FFF2-40B4-BE49-F238E27FC236}">
              <a16:creationId xmlns:a16="http://schemas.microsoft.com/office/drawing/2014/main" id="{00000000-0008-0000-0C00-00007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79" name="CustomShape 1">
          <a:extLst>
            <a:ext uri="{FF2B5EF4-FFF2-40B4-BE49-F238E27FC236}">
              <a16:creationId xmlns:a16="http://schemas.microsoft.com/office/drawing/2014/main" id="{00000000-0008-0000-0C00-00007B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0" name="CustomShape 1">
          <a:extLst>
            <a:ext uri="{FF2B5EF4-FFF2-40B4-BE49-F238E27FC236}">
              <a16:creationId xmlns:a16="http://schemas.microsoft.com/office/drawing/2014/main" id="{00000000-0008-0000-0C00-00007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1" name="CustomShape 1">
          <a:extLst>
            <a:ext uri="{FF2B5EF4-FFF2-40B4-BE49-F238E27FC236}">
              <a16:creationId xmlns:a16="http://schemas.microsoft.com/office/drawing/2014/main" id="{00000000-0008-0000-0C00-00007D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2" name="CustomShape 1">
          <a:extLst>
            <a:ext uri="{FF2B5EF4-FFF2-40B4-BE49-F238E27FC236}">
              <a16:creationId xmlns:a16="http://schemas.microsoft.com/office/drawing/2014/main" id="{00000000-0008-0000-0C00-00007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3" name="CustomShape 1">
          <a:extLst>
            <a:ext uri="{FF2B5EF4-FFF2-40B4-BE49-F238E27FC236}">
              <a16:creationId xmlns:a16="http://schemas.microsoft.com/office/drawing/2014/main" id="{00000000-0008-0000-0C00-00007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4" name="CustomShape 1">
          <a:extLst>
            <a:ext uri="{FF2B5EF4-FFF2-40B4-BE49-F238E27FC236}">
              <a16:creationId xmlns:a16="http://schemas.microsoft.com/office/drawing/2014/main" id="{00000000-0008-0000-0C00-00008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5" name="CustomShape 1">
          <a:extLst>
            <a:ext uri="{FF2B5EF4-FFF2-40B4-BE49-F238E27FC236}">
              <a16:creationId xmlns:a16="http://schemas.microsoft.com/office/drawing/2014/main" id="{00000000-0008-0000-0C00-00008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6" name="CustomShape 1">
          <a:extLst>
            <a:ext uri="{FF2B5EF4-FFF2-40B4-BE49-F238E27FC236}">
              <a16:creationId xmlns:a16="http://schemas.microsoft.com/office/drawing/2014/main" id="{00000000-0008-0000-0C00-00008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7" name="CustomShape 1">
          <a:extLst>
            <a:ext uri="{FF2B5EF4-FFF2-40B4-BE49-F238E27FC236}">
              <a16:creationId xmlns:a16="http://schemas.microsoft.com/office/drawing/2014/main" id="{00000000-0008-0000-0C00-00008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8" name="CustomShape 1">
          <a:extLst>
            <a:ext uri="{FF2B5EF4-FFF2-40B4-BE49-F238E27FC236}">
              <a16:creationId xmlns:a16="http://schemas.microsoft.com/office/drawing/2014/main" id="{00000000-0008-0000-0C00-00008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89" name="CustomShape 1">
          <a:extLst>
            <a:ext uri="{FF2B5EF4-FFF2-40B4-BE49-F238E27FC236}">
              <a16:creationId xmlns:a16="http://schemas.microsoft.com/office/drawing/2014/main" id="{00000000-0008-0000-0C00-000085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0" name="CustomShape 1">
          <a:extLst>
            <a:ext uri="{FF2B5EF4-FFF2-40B4-BE49-F238E27FC236}">
              <a16:creationId xmlns:a16="http://schemas.microsoft.com/office/drawing/2014/main" id="{00000000-0008-0000-0C00-000086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1" name="CustomShape 1">
          <a:extLst>
            <a:ext uri="{FF2B5EF4-FFF2-40B4-BE49-F238E27FC236}">
              <a16:creationId xmlns:a16="http://schemas.microsoft.com/office/drawing/2014/main" id="{00000000-0008-0000-0C00-000087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2" name="CustomShape 1">
          <a:extLst>
            <a:ext uri="{FF2B5EF4-FFF2-40B4-BE49-F238E27FC236}">
              <a16:creationId xmlns:a16="http://schemas.microsoft.com/office/drawing/2014/main" id="{00000000-0008-0000-0C00-000088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3" name="CustomShape 1">
          <a:extLst>
            <a:ext uri="{FF2B5EF4-FFF2-40B4-BE49-F238E27FC236}">
              <a16:creationId xmlns:a16="http://schemas.microsoft.com/office/drawing/2014/main" id="{00000000-0008-0000-0C00-000089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4" name="CustomShape 1">
          <a:extLst>
            <a:ext uri="{FF2B5EF4-FFF2-40B4-BE49-F238E27FC236}">
              <a16:creationId xmlns:a16="http://schemas.microsoft.com/office/drawing/2014/main" id="{00000000-0008-0000-0C00-00008A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208080</xdr:colOff>
      <xdr:row>38</xdr:row>
      <xdr:rowOff>98640</xdr:rowOff>
    </xdr:from>
    <xdr:to>
      <xdr:col>3</xdr:col>
      <xdr:colOff>277920</xdr:colOff>
      <xdr:row>40</xdr:row>
      <xdr:rowOff>30240</xdr:rowOff>
    </xdr:to>
    <xdr:sp macro="" textlink="">
      <xdr:nvSpPr>
        <xdr:cNvPr id="395" name="CustomShape 1">
          <a:extLst>
            <a:ext uri="{FF2B5EF4-FFF2-40B4-BE49-F238E27FC236}">
              <a16:creationId xmlns:a16="http://schemas.microsoft.com/office/drawing/2014/main" id="{00000000-0008-0000-0C00-00008B010000}"/>
            </a:ext>
          </a:extLst>
        </xdr:cNvPr>
        <xdr:cNvSpPr/>
      </xdr:nvSpPr>
      <xdr:spPr>
        <a:xfrm>
          <a:off x="4265640" y="7362360"/>
          <a:ext cx="6984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6" name="CustomShape 1">
          <a:extLst>
            <a:ext uri="{FF2B5EF4-FFF2-40B4-BE49-F238E27FC236}">
              <a16:creationId xmlns:a16="http://schemas.microsoft.com/office/drawing/2014/main" id="{00000000-0008-0000-0C00-00008C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7" name="CustomShape 1">
          <a:extLst>
            <a:ext uri="{FF2B5EF4-FFF2-40B4-BE49-F238E27FC236}">
              <a16:creationId xmlns:a16="http://schemas.microsoft.com/office/drawing/2014/main" id="{00000000-0008-0000-0C00-00008D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8" name="CustomShape 1">
          <a:extLst>
            <a:ext uri="{FF2B5EF4-FFF2-40B4-BE49-F238E27FC236}">
              <a16:creationId xmlns:a16="http://schemas.microsoft.com/office/drawing/2014/main" id="{00000000-0008-0000-0C00-00008E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399" name="CustomShape 1">
          <a:extLst>
            <a:ext uri="{FF2B5EF4-FFF2-40B4-BE49-F238E27FC236}">
              <a16:creationId xmlns:a16="http://schemas.microsoft.com/office/drawing/2014/main" id="{00000000-0008-0000-0C00-00008F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400" name="CustomShape 1">
          <a:extLst>
            <a:ext uri="{FF2B5EF4-FFF2-40B4-BE49-F238E27FC236}">
              <a16:creationId xmlns:a16="http://schemas.microsoft.com/office/drawing/2014/main" id="{00000000-0008-0000-0C00-000090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401" name="CustomShape 1">
          <a:extLst>
            <a:ext uri="{FF2B5EF4-FFF2-40B4-BE49-F238E27FC236}">
              <a16:creationId xmlns:a16="http://schemas.microsoft.com/office/drawing/2014/main" id="{00000000-0008-0000-0C00-000091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402" name="CustomShape 1">
          <a:extLst>
            <a:ext uri="{FF2B5EF4-FFF2-40B4-BE49-F238E27FC236}">
              <a16:creationId xmlns:a16="http://schemas.microsoft.com/office/drawing/2014/main" id="{00000000-0008-0000-0C00-000092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403" name="CustomShape 1">
          <a:extLst>
            <a:ext uri="{FF2B5EF4-FFF2-40B4-BE49-F238E27FC236}">
              <a16:creationId xmlns:a16="http://schemas.microsoft.com/office/drawing/2014/main" id="{00000000-0008-0000-0C00-000093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38</xdr:row>
      <xdr:rowOff>98640</xdr:rowOff>
    </xdr:from>
    <xdr:to>
      <xdr:col>4</xdr:col>
      <xdr:colOff>144720</xdr:colOff>
      <xdr:row>40</xdr:row>
      <xdr:rowOff>30240</xdr:rowOff>
    </xdr:to>
    <xdr:sp macro="" textlink="">
      <xdr:nvSpPr>
        <xdr:cNvPr id="404" name="CustomShape 1">
          <a:extLst>
            <a:ext uri="{FF2B5EF4-FFF2-40B4-BE49-F238E27FC236}">
              <a16:creationId xmlns:a16="http://schemas.microsoft.com/office/drawing/2014/main" id="{00000000-0008-0000-0C00-000094010000}"/>
            </a:ext>
          </a:extLst>
        </xdr:cNvPr>
        <xdr:cNvSpPr/>
      </xdr:nvSpPr>
      <xdr:spPr>
        <a:xfrm>
          <a:off x="4470120" y="7362360"/>
          <a:ext cx="5580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208080</xdr:colOff>
      <xdr:row>38</xdr:row>
      <xdr:rowOff>98640</xdr:rowOff>
    </xdr:from>
    <xdr:to>
      <xdr:col>3</xdr:col>
      <xdr:colOff>277920</xdr:colOff>
      <xdr:row>40</xdr:row>
      <xdr:rowOff>30240</xdr:rowOff>
    </xdr:to>
    <xdr:sp macro="" textlink="">
      <xdr:nvSpPr>
        <xdr:cNvPr id="405" name="CustomShape 1">
          <a:extLst>
            <a:ext uri="{FF2B5EF4-FFF2-40B4-BE49-F238E27FC236}">
              <a16:creationId xmlns:a16="http://schemas.microsoft.com/office/drawing/2014/main" id="{00000000-0008-0000-0C00-000095010000}"/>
            </a:ext>
          </a:extLst>
        </xdr:cNvPr>
        <xdr:cNvSpPr/>
      </xdr:nvSpPr>
      <xdr:spPr>
        <a:xfrm>
          <a:off x="4265640" y="7362360"/>
          <a:ext cx="6984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06" name="CustomShape 1">
          <a:extLst>
            <a:ext uri="{FF2B5EF4-FFF2-40B4-BE49-F238E27FC236}">
              <a16:creationId xmlns:a16="http://schemas.microsoft.com/office/drawing/2014/main" id="{00000000-0008-0000-0C00-000096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07" name="CustomShape 1">
          <a:extLst>
            <a:ext uri="{FF2B5EF4-FFF2-40B4-BE49-F238E27FC236}">
              <a16:creationId xmlns:a16="http://schemas.microsoft.com/office/drawing/2014/main" id="{00000000-0008-0000-0C00-000097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08" name="CustomShape 1">
          <a:extLst>
            <a:ext uri="{FF2B5EF4-FFF2-40B4-BE49-F238E27FC236}">
              <a16:creationId xmlns:a16="http://schemas.microsoft.com/office/drawing/2014/main" id="{00000000-0008-0000-0C00-000098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09" name="CustomShape 1">
          <a:extLst>
            <a:ext uri="{FF2B5EF4-FFF2-40B4-BE49-F238E27FC236}">
              <a16:creationId xmlns:a16="http://schemas.microsoft.com/office/drawing/2014/main" id="{00000000-0008-0000-0C00-000099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0" name="CustomShape 1">
          <a:extLst>
            <a:ext uri="{FF2B5EF4-FFF2-40B4-BE49-F238E27FC236}">
              <a16:creationId xmlns:a16="http://schemas.microsoft.com/office/drawing/2014/main" id="{00000000-0008-0000-0C00-00009A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1" name="CustomShape 1">
          <a:extLst>
            <a:ext uri="{FF2B5EF4-FFF2-40B4-BE49-F238E27FC236}">
              <a16:creationId xmlns:a16="http://schemas.microsoft.com/office/drawing/2014/main" id="{00000000-0008-0000-0C00-00009B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2" name="CustomShape 1">
          <a:extLst>
            <a:ext uri="{FF2B5EF4-FFF2-40B4-BE49-F238E27FC236}">
              <a16:creationId xmlns:a16="http://schemas.microsoft.com/office/drawing/2014/main" id="{00000000-0008-0000-0C00-00009C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3" name="CustomShape 1">
          <a:extLst>
            <a:ext uri="{FF2B5EF4-FFF2-40B4-BE49-F238E27FC236}">
              <a16:creationId xmlns:a16="http://schemas.microsoft.com/office/drawing/2014/main" id="{00000000-0008-0000-0C00-00009D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4" name="CustomShape 1">
          <a:extLst>
            <a:ext uri="{FF2B5EF4-FFF2-40B4-BE49-F238E27FC236}">
              <a16:creationId xmlns:a16="http://schemas.microsoft.com/office/drawing/2014/main" id="{00000000-0008-0000-0C00-00009E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5" name="CustomShape 1">
          <a:extLst>
            <a:ext uri="{FF2B5EF4-FFF2-40B4-BE49-F238E27FC236}">
              <a16:creationId xmlns:a16="http://schemas.microsoft.com/office/drawing/2014/main" id="{00000000-0008-0000-0C00-00009F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6" name="CustomShape 1">
          <a:extLst>
            <a:ext uri="{FF2B5EF4-FFF2-40B4-BE49-F238E27FC236}">
              <a16:creationId xmlns:a16="http://schemas.microsoft.com/office/drawing/2014/main" id="{00000000-0008-0000-0C00-0000A0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7" name="CustomShape 1">
          <a:extLst>
            <a:ext uri="{FF2B5EF4-FFF2-40B4-BE49-F238E27FC236}">
              <a16:creationId xmlns:a16="http://schemas.microsoft.com/office/drawing/2014/main" id="{00000000-0008-0000-0C00-0000A1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8" name="CustomShape 1">
          <a:extLst>
            <a:ext uri="{FF2B5EF4-FFF2-40B4-BE49-F238E27FC236}">
              <a16:creationId xmlns:a16="http://schemas.microsoft.com/office/drawing/2014/main" id="{00000000-0008-0000-0C00-0000A2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19" name="CustomShape 1">
          <a:extLst>
            <a:ext uri="{FF2B5EF4-FFF2-40B4-BE49-F238E27FC236}">
              <a16:creationId xmlns:a16="http://schemas.microsoft.com/office/drawing/2014/main" id="{00000000-0008-0000-0C00-0000A3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0" name="CustomShape 1">
          <a:extLst>
            <a:ext uri="{FF2B5EF4-FFF2-40B4-BE49-F238E27FC236}">
              <a16:creationId xmlns:a16="http://schemas.microsoft.com/office/drawing/2014/main" id="{00000000-0008-0000-0C00-0000A4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1" name="CustomShape 1">
          <a:extLst>
            <a:ext uri="{FF2B5EF4-FFF2-40B4-BE49-F238E27FC236}">
              <a16:creationId xmlns:a16="http://schemas.microsoft.com/office/drawing/2014/main" id="{00000000-0008-0000-0C00-0000A5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2" name="CustomShape 1">
          <a:extLst>
            <a:ext uri="{FF2B5EF4-FFF2-40B4-BE49-F238E27FC236}">
              <a16:creationId xmlns:a16="http://schemas.microsoft.com/office/drawing/2014/main" id="{00000000-0008-0000-0C00-0000A6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3" name="CustomShape 1">
          <a:extLst>
            <a:ext uri="{FF2B5EF4-FFF2-40B4-BE49-F238E27FC236}">
              <a16:creationId xmlns:a16="http://schemas.microsoft.com/office/drawing/2014/main" id="{00000000-0008-0000-0C00-0000A7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4" name="CustomShape 1">
          <a:extLst>
            <a:ext uri="{FF2B5EF4-FFF2-40B4-BE49-F238E27FC236}">
              <a16:creationId xmlns:a16="http://schemas.microsoft.com/office/drawing/2014/main" id="{00000000-0008-0000-0C00-0000A8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5" name="CustomShape 1">
          <a:extLst>
            <a:ext uri="{FF2B5EF4-FFF2-40B4-BE49-F238E27FC236}">
              <a16:creationId xmlns:a16="http://schemas.microsoft.com/office/drawing/2014/main" id="{00000000-0008-0000-0C00-0000A9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208080</xdr:colOff>
      <xdr:row>32</xdr:row>
      <xdr:rowOff>98640</xdr:rowOff>
    </xdr:from>
    <xdr:to>
      <xdr:col>3</xdr:col>
      <xdr:colOff>277920</xdr:colOff>
      <xdr:row>34</xdr:row>
      <xdr:rowOff>30240</xdr:rowOff>
    </xdr:to>
    <xdr:sp macro="" textlink="">
      <xdr:nvSpPr>
        <xdr:cNvPr id="426" name="CustomShape 1">
          <a:extLst>
            <a:ext uri="{FF2B5EF4-FFF2-40B4-BE49-F238E27FC236}">
              <a16:creationId xmlns:a16="http://schemas.microsoft.com/office/drawing/2014/main" id="{00000000-0008-0000-0C00-0000AA010000}"/>
            </a:ext>
          </a:extLst>
        </xdr:cNvPr>
        <xdr:cNvSpPr/>
      </xdr:nvSpPr>
      <xdr:spPr>
        <a:xfrm>
          <a:off x="4265640" y="6276240"/>
          <a:ext cx="6984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7" name="CustomShape 1">
          <a:extLst>
            <a:ext uri="{FF2B5EF4-FFF2-40B4-BE49-F238E27FC236}">
              <a16:creationId xmlns:a16="http://schemas.microsoft.com/office/drawing/2014/main" id="{00000000-0008-0000-0C00-0000AB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8" name="CustomShape 1">
          <a:extLst>
            <a:ext uri="{FF2B5EF4-FFF2-40B4-BE49-F238E27FC236}">
              <a16:creationId xmlns:a16="http://schemas.microsoft.com/office/drawing/2014/main" id="{00000000-0008-0000-0C00-0000AC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29" name="CustomShape 1">
          <a:extLst>
            <a:ext uri="{FF2B5EF4-FFF2-40B4-BE49-F238E27FC236}">
              <a16:creationId xmlns:a16="http://schemas.microsoft.com/office/drawing/2014/main" id="{00000000-0008-0000-0C00-0000AD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30" name="CustomShape 1">
          <a:extLst>
            <a:ext uri="{FF2B5EF4-FFF2-40B4-BE49-F238E27FC236}">
              <a16:creationId xmlns:a16="http://schemas.microsoft.com/office/drawing/2014/main" id="{00000000-0008-0000-0C00-0000AE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144720</xdr:colOff>
      <xdr:row>34</xdr:row>
      <xdr:rowOff>30240</xdr:rowOff>
    </xdr:to>
    <xdr:sp macro="" textlink="">
      <xdr:nvSpPr>
        <xdr:cNvPr id="431" name="CustomShape 1">
          <a:extLst>
            <a:ext uri="{FF2B5EF4-FFF2-40B4-BE49-F238E27FC236}">
              <a16:creationId xmlns:a16="http://schemas.microsoft.com/office/drawing/2014/main" id="{00000000-0008-0000-0C00-0000AF010000}"/>
            </a:ext>
          </a:extLst>
        </xdr:cNvPr>
        <xdr:cNvSpPr/>
      </xdr:nvSpPr>
      <xdr:spPr>
        <a:xfrm>
          <a:off x="4470120" y="6276240"/>
          <a:ext cx="55800" cy="293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103320</xdr:colOff>
      <xdr:row>38</xdr:row>
      <xdr:rowOff>98640</xdr:rowOff>
    </xdr:from>
    <xdr:to>
      <xdr:col>4</xdr:col>
      <xdr:colOff>154440</xdr:colOff>
      <xdr:row>40</xdr:row>
      <xdr:rowOff>30240</xdr:rowOff>
    </xdr:to>
    <xdr:sp macro="" textlink="">
      <xdr:nvSpPr>
        <xdr:cNvPr id="432" name="CustomShape 1">
          <a:extLst>
            <a:ext uri="{FF2B5EF4-FFF2-40B4-BE49-F238E27FC236}">
              <a16:creationId xmlns:a16="http://schemas.microsoft.com/office/drawing/2014/main" id="{00000000-0008-0000-0C00-0000B0010000}"/>
            </a:ext>
          </a:extLst>
        </xdr:cNvPr>
        <xdr:cNvSpPr/>
      </xdr:nvSpPr>
      <xdr:spPr>
        <a:xfrm>
          <a:off x="4484520" y="7362360"/>
          <a:ext cx="51120" cy="293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23</xdr:row>
      <xdr:rowOff>221040</xdr:rowOff>
    </xdr:from>
    <xdr:to>
      <xdr:col>4</xdr:col>
      <xdr:colOff>154080</xdr:colOff>
      <xdr:row>24</xdr:row>
      <xdr:rowOff>162720</xdr:rowOff>
    </xdr:to>
    <xdr:sp macro="" textlink="">
      <xdr:nvSpPr>
        <xdr:cNvPr id="433" name="CustomShape 1">
          <a:extLst>
            <a:ext uri="{FF2B5EF4-FFF2-40B4-BE49-F238E27FC236}">
              <a16:creationId xmlns:a16="http://schemas.microsoft.com/office/drawing/2014/main" id="{00000000-0008-0000-0C00-0000B1010000}"/>
            </a:ext>
          </a:extLst>
        </xdr:cNvPr>
        <xdr:cNvSpPr/>
      </xdr:nvSpPr>
      <xdr:spPr>
        <a:xfrm>
          <a:off x="4470120" y="4470840"/>
          <a:ext cx="65160" cy="199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31</xdr:row>
      <xdr:rowOff>99000</xdr:rowOff>
    </xdr:from>
    <xdr:to>
      <xdr:col>4</xdr:col>
      <xdr:colOff>154080</xdr:colOff>
      <xdr:row>33</xdr:row>
      <xdr:rowOff>39600</xdr:rowOff>
    </xdr:to>
    <xdr:sp macro="" textlink="">
      <xdr:nvSpPr>
        <xdr:cNvPr id="434" name="CustomShape 1">
          <a:extLst>
            <a:ext uri="{FF2B5EF4-FFF2-40B4-BE49-F238E27FC236}">
              <a16:creationId xmlns:a16="http://schemas.microsoft.com/office/drawing/2014/main" id="{00000000-0008-0000-0C00-0000B2010000}"/>
            </a:ext>
          </a:extLst>
        </xdr:cNvPr>
        <xdr:cNvSpPr/>
      </xdr:nvSpPr>
      <xdr:spPr>
        <a:xfrm>
          <a:off x="4470120" y="6095880"/>
          <a:ext cx="65160" cy="302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154080</xdr:colOff>
      <xdr:row>34</xdr:row>
      <xdr:rowOff>39600</xdr:rowOff>
    </xdr:to>
    <xdr:sp macro="" textlink="">
      <xdr:nvSpPr>
        <xdr:cNvPr id="435" name="CustomShape 1">
          <a:extLst>
            <a:ext uri="{FF2B5EF4-FFF2-40B4-BE49-F238E27FC236}">
              <a16:creationId xmlns:a16="http://schemas.microsoft.com/office/drawing/2014/main" id="{00000000-0008-0000-0C00-0000B3010000}"/>
            </a:ext>
          </a:extLst>
        </xdr:cNvPr>
        <xdr:cNvSpPr/>
      </xdr:nvSpPr>
      <xdr:spPr>
        <a:xfrm>
          <a:off x="4470120" y="6276240"/>
          <a:ext cx="65160" cy="303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154080</xdr:colOff>
      <xdr:row>34</xdr:row>
      <xdr:rowOff>39600</xdr:rowOff>
    </xdr:to>
    <xdr:sp macro="" textlink="">
      <xdr:nvSpPr>
        <xdr:cNvPr id="436" name="CustomShape 1">
          <a:extLst>
            <a:ext uri="{FF2B5EF4-FFF2-40B4-BE49-F238E27FC236}">
              <a16:creationId xmlns:a16="http://schemas.microsoft.com/office/drawing/2014/main" id="{00000000-0008-0000-0C00-0000B4010000}"/>
            </a:ext>
          </a:extLst>
        </xdr:cNvPr>
        <xdr:cNvSpPr/>
      </xdr:nvSpPr>
      <xdr:spPr>
        <a:xfrm>
          <a:off x="4470120" y="6276240"/>
          <a:ext cx="65160" cy="303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154080</xdr:colOff>
      <xdr:row>34</xdr:row>
      <xdr:rowOff>39600</xdr:rowOff>
    </xdr:to>
    <xdr:sp macro="" textlink="">
      <xdr:nvSpPr>
        <xdr:cNvPr id="437" name="CustomShape 1">
          <a:extLst>
            <a:ext uri="{FF2B5EF4-FFF2-40B4-BE49-F238E27FC236}">
              <a16:creationId xmlns:a16="http://schemas.microsoft.com/office/drawing/2014/main" id="{00000000-0008-0000-0C00-0000B5010000}"/>
            </a:ext>
          </a:extLst>
        </xdr:cNvPr>
        <xdr:cNvSpPr/>
      </xdr:nvSpPr>
      <xdr:spPr>
        <a:xfrm>
          <a:off x="4470120" y="6276240"/>
          <a:ext cx="65160" cy="303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32</xdr:row>
      <xdr:rowOff>98640</xdr:rowOff>
    </xdr:from>
    <xdr:to>
      <xdr:col>4</xdr:col>
      <xdr:colOff>154080</xdr:colOff>
      <xdr:row>34</xdr:row>
      <xdr:rowOff>39600</xdr:rowOff>
    </xdr:to>
    <xdr:sp macro="" textlink="">
      <xdr:nvSpPr>
        <xdr:cNvPr id="438" name="CustomShape 1">
          <a:extLst>
            <a:ext uri="{FF2B5EF4-FFF2-40B4-BE49-F238E27FC236}">
              <a16:creationId xmlns:a16="http://schemas.microsoft.com/office/drawing/2014/main" id="{00000000-0008-0000-0C00-0000B6010000}"/>
            </a:ext>
          </a:extLst>
        </xdr:cNvPr>
        <xdr:cNvSpPr/>
      </xdr:nvSpPr>
      <xdr:spPr>
        <a:xfrm>
          <a:off x="4470120" y="6276240"/>
          <a:ext cx="65160" cy="303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33</xdr:row>
      <xdr:rowOff>98640</xdr:rowOff>
    </xdr:from>
    <xdr:to>
      <xdr:col>4</xdr:col>
      <xdr:colOff>154080</xdr:colOff>
      <xdr:row>35</xdr:row>
      <xdr:rowOff>39240</xdr:rowOff>
    </xdr:to>
    <xdr:sp macro="" textlink="">
      <xdr:nvSpPr>
        <xdr:cNvPr id="439" name="CustomShape 1">
          <a:extLst>
            <a:ext uri="{FF2B5EF4-FFF2-40B4-BE49-F238E27FC236}">
              <a16:creationId xmlns:a16="http://schemas.microsoft.com/office/drawing/2014/main" id="{00000000-0008-0000-0C00-0000B7010000}"/>
            </a:ext>
          </a:extLst>
        </xdr:cNvPr>
        <xdr:cNvSpPr/>
      </xdr:nvSpPr>
      <xdr:spPr>
        <a:xfrm>
          <a:off x="4470120" y="6457320"/>
          <a:ext cx="65160" cy="302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33</xdr:row>
      <xdr:rowOff>98640</xdr:rowOff>
    </xdr:from>
    <xdr:to>
      <xdr:col>4</xdr:col>
      <xdr:colOff>154080</xdr:colOff>
      <xdr:row>35</xdr:row>
      <xdr:rowOff>39240</xdr:rowOff>
    </xdr:to>
    <xdr:sp macro="" textlink="">
      <xdr:nvSpPr>
        <xdr:cNvPr id="440" name="CustomShape 1">
          <a:extLst>
            <a:ext uri="{FF2B5EF4-FFF2-40B4-BE49-F238E27FC236}">
              <a16:creationId xmlns:a16="http://schemas.microsoft.com/office/drawing/2014/main" id="{00000000-0008-0000-0C00-0000B8010000}"/>
            </a:ext>
          </a:extLst>
        </xdr:cNvPr>
        <xdr:cNvSpPr/>
      </xdr:nvSpPr>
      <xdr:spPr>
        <a:xfrm>
          <a:off x="4470120" y="6457320"/>
          <a:ext cx="65160" cy="302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33</xdr:row>
      <xdr:rowOff>98640</xdr:rowOff>
    </xdr:from>
    <xdr:to>
      <xdr:col>4</xdr:col>
      <xdr:colOff>154080</xdr:colOff>
      <xdr:row>35</xdr:row>
      <xdr:rowOff>39240</xdr:rowOff>
    </xdr:to>
    <xdr:sp macro="" textlink="">
      <xdr:nvSpPr>
        <xdr:cNvPr id="441" name="CustomShape 1">
          <a:extLst>
            <a:ext uri="{FF2B5EF4-FFF2-40B4-BE49-F238E27FC236}">
              <a16:creationId xmlns:a16="http://schemas.microsoft.com/office/drawing/2014/main" id="{00000000-0008-0000-0C00-0000B9010000}"/>
            </a:ext>
          </a:extLst>
        </xdr:cNvPr>
        <xdr:cNvSpPr/>
      </xdr:nvSpPr>
      <xdr:spPr>
        <a:xfrm>
          <a:off x="4470120" y="6457320"/>
          <a:ext cx="65160" cy="302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23</xdr:row>
      <xdr:rowOff>221040</xdr:rowOff>
    </xdr:from>
    <xdr:to>
      <xdr:col>4</xdr:col>
      <xdr:colOff>154080</xdr:colOff>
      <xdr:row>24</xdr:row>
      <xdr:rowOff>162720</xdr:rowOff>
    </xdr:to>
    <xdr:sp macro="" textlink="">
      <xdr:nvSpPr>
        <xdr:cNvPr id="442" name="CustomShape 1">
          <a:extLst>
            <a:ext uri="{FF2B5EF4-FFF2-40B4-BE49-F238E27FC236}">
              <a16:creationId xmlns:a16="http://schemas.microsoft.com/office/drawing/2014/main" id="{00000000-0008-0000-0C00-0000BA010000}"/>
            </a:ext>
          </a:extLst>
        </xdr:cNvPr>
        <xdr:cNvSpPr/>
      </xdr:nvSpPr>
      <xdr:spPr>
        <a:xfrm>
          <a:off x="4470120" y="4470840"/>
          <a:ext cx="65160" cy="199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23</xdr:row>
      <xdr:rowOff>221040</xdr:rowOff>
    </xdr:from>
    <xdr:to>
      <xdr:col>4</xdr:col>
      <xdr:colOff>154080</xdr:colOff>
      <xdr:row>24</xdr:row>
      <xdr:rowOff>162720</xdr:rowOff>
    </xdr:to>
    <xdr:sp macro="" textlink="">
      <xdr:nvSpPr>
        <xdr:cNvPr id="443" name="CustomShape 1">
          <a:extLst>
            <a:ext uri="{FF2B5EF4-FFF2-40B4-BE49-F238E27FC236}">
              <a16:creationId xmlns:a16="http://schemas.microsoft.com/office/drawing/2014/main" id="{00000000-0008-0000-0C00-0000BB010000}"/>
            </a:ext>
          </a:extLst>
        </xdr:cNvPr>
        <xdr:cNvSpPr/>
      </xdr:nvSpPr>
      <xdr:spPr>
        <a:xfrm>
          <a:off x="4470120" y="4470840"/>
          <a:ext cx="65160" cy="199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23</xdr:row>
      <xdr:rowOff>221040</xdr:rowOff>
    </xdr:from>
    <xdr:to>
      <xdr:col>4</xdr:col>
      <xdr:colOff>154080</xdr:colOff>
      <xdr:row>24</xdr:row>
      <xdr:rowOff>162720</xdr:rowOff>
    </xdr:to>
    <xdr:sp macro="" textlink="">
      <xdr:nvSpPr>
        <xdr:cNvPr id="444" name="CustomShape 1">
          <a:extLst>
            <a:ext uri="{FF2B5EF4-FFF2-40B4-BE49-F238E27FC236}">
              <a16:creationId xmlns:a16="http://schemas.microsoft.com/office/drawing/2014/main" id="{00000000-0008-0000-0C00-0000BC010000}"/>
            </a:ext>
          </a:extLst>
        </xdr:cNvPr>
        <xdr:cNvSpPr/>
      </xdr:nvSpPr>
      <xdr:spPr>
        <a:xfrm>
          <a:off x="4470120" y="4470840"/>
          <a:ext cx="65160" cy="199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20</xdr:row>
      <xdr:rowOff>92880</xdr:rowOff>
    </xdr:from>
    <xdr:to>
      <xdr:col>4</xdr:col>
      <xdr:colOff>154080</xdr:colOff>
      <xdr:row>21</xdr:row>
      <xdr:rowOff>162720</xdr:rowOff>
    </xdr:to>
    <xdr:sp macro="" textlink="">
      <xdr:nvSpPr>
        <xdr:cNvPr id="445" name="CustomShape 1">
          <a:extLst>
            <a:ext uri="{FF2B5EF4-FFF2-40B4-BE49-F238E27FC236}">
              <a16:creationId xmlns:a16="http://schemas.microsoft.com/office/drawing/2014/main" id="{00000000-0008-0000-0C00-0000BD010000}"/>
            </a:ext>
          </a:extLst>
        </xdr:cNvPr>
        <xdr:cNvSpPr/>
      </xdr:nvSpPr>
      <xdr:spPr>
        <a:xfrm>
          <a:off x="4470120" y="3647520"/>
          <a:ext cx="65160" cy="250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20</xdr:row>
      <xdr:rowOff>92880</xdr:rowOff>
    </xdr:from>
    <xdr:to>
      <xdr:col>4</xdr:col>
      <xdr:colOff>154080</xdr:colOff>
      <xdr:row>21</xdr:row>
      <xdr:rowOff>162720</xdr:rowOff>
    </xdr:to>
    <xdr:sp macro="" textlink="">
      <xdr:nvSpPr>
        <xdr:cNvPr id="446" name="CustomShape 1">
          <a:extLst>
            <a:ext uri="{FF2B5EF4-FFF2-40B4-BE49-F238E27FC236}">
              <a16:creationId xmlns:a16="http://schemas.microsoft.com/office/drawing/2014/main" id="{00000000-0008-0000-0C00-0000BE010000}"/>
            </a:ext>
          </a:extLst>
        </xdr:cNvPr>
        <xdr:cNvSpPr/>
      </xdr:nvSpPr>
      <xdr:spPr>
        <a:xfrm>
          <a:off x="4470120" y="3647520"/>
          <a:ext cx="65160" cy="250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20</xdr:row>
      <xdr:rowOff>92880</xdr:rowOff>
    </xdr:from>
    <xdr:to>
      <xdr:col>4</xdr:col>
      <xdr:colOff>154080</xdr:colOff>
      <xdr:row>21</xdr:row>
      <xdr:rowOff>162720</xdr:rowOff>
    </xdr:to>
    <xdr:sp macro="" textlink="">
      <xdr:nvSpPr>
        <xdr:cNvPr id="447" name="CustomShape 1">
          <a:extLst>
            <a:ext uri="{FF2B5EF4-FFF2-40B4-BE49-F238E27FC236}">
              <a16:creationId xmlns:a16="http://schemas.microsoft.com/office/drawing/2014/main" id="{00000000-0008-0000-0C00-0000BF010000}"/>
            </a:ext>
          </a:extLst>
        </xdr:cNvPr>
        <xdr:cNvSpPr/>
      </xdr:nvSpPr>
      <xdr:spPr>
        <a:xfrm>
          <a:off x="4470120" y="3647520"/>
          <a:ext cx="65160" cy="250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33</xdr:row>
      <xdr:rowOff>98640</xdr:rowOff>
    </xdr:from>
    <xdr:to>
      <xdr:col>4</xdr:col>
      <xdr:colOff>154080</xdr:colOff>
      <xdr:row>35</xdr:row>
      <xdr:rowOff>39240</xdr:rowOff>
    </xdr:to>
    <xdr:sp macro="" textlink="">
      <xdr:nvSpPr>
        <xdr:cNvPr id="448" name="CustomShape 1">
          <a:extLst>
            <a:ext uri="{FF2B5EF4-FFF2-40B4-BE49-F238E27FC236}">
              <a16:creationId xmlns:a16="http://schemas.microsoft.com/office/drawing/2014/main" id="{00000000-0008-0000-0C00-0000C0010000}"/>
            </a:ext>
          </a:extLst>
        </xdr:cNvPr>
        <xdr:cNvSpPr/>
      </xdr:nvSpPr>
      <xdr:spPr>
        <a:xfrm>
          <a:off x="4470120" y="6457320"/>
          <a:ext cx="65160" cy="302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33</xdr:row>
      <xdr:rowOff>98640</xdr:rowOff>
    </xdr:from>
    <xdr:to>
      <xdr:col>4</xdr:col>
      <xdr:colOff>154080</xdr:colOff>
      <xdr:row>35</xdr:row>
      <xdr:rowOff>39240</xdr:rowOff>
    </xdr:to>
    <xdr:sp macro="" textlink="">
      <xdr:nvSpPr>
        <xdr:cNvPr id="449" name="CustomShape 1">
          <a:extLst>
            <a:ext uri="{FF2B5EF4-FFF2-40B4-BE49-F238E27FC236}">
              <a16:creationId xmlns:a16="http://schemas.microsoft.com/office/drawing/2014/main" id="{00000000-0008-0000-0C00-0000C1010000}"/>
            </a:ext>
          </a:extLst>
        </xdr:cNvPr>
        <xdr:cNvSpPr/>
      </xdr:nvSpPr>
      <xdr:spPr>
        <a:xfrm>
          <a:off x="4470120" y="6457320"/>
          <a:ext cx="65160" cy="302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33</xdr:row>
      <xdr:rowOff>98640</xdr:rowOff>
    </xdr:from>
    <xdr:to>
      <xdr:col>4</xdr:col>
      <xdr:colOff>154080</xdr:colOff>
      <xdr:row>35</xdr:row>
      <xdr:rowOff>39240</xdr:rowOff>
    </xdr:to>
    <xdr:sp macro="" textlink="">
      <xdr:nvSpPr>
        <xdr:cNvPr id="450" name="CustomShape 1">
          <a:extLst>
            <a:ext uri="{FF2B5EF4-FFF2-40B4-BE49-F238E27FC236}">
              <a16:creationId xmlns:a16="http://schemas.microsoft.com/office/drawing/2014/main" id="{00000000-0008-0000-0C00-0000C2010000}"/>
            </a:ext>
          </a:extLst>
        </xdr:cNvPr>
        <xdr:cNvSpPr/>
      </xdr:nvSpPr>
      <xdr:spPr>
        <a:xfrm>
          <a:off x="4470120" y="6457320"/>
          <a:ext cx="65160" cy="302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34</xdr:row>
      <xdr:rowOff>98640</xdr:rowOff>
    </xdr:from>
    <xdr:to>
      <xdr:col>4</xdr:col>
      <xdr:colOff>154080</xdr:colOff>
      <xdr:row>36</xdr:row>
      <xdr:rowOff>77760</xdr:rowOff>
    </xdr:to>
    <xdr:sp macro="" textlink="">
      <xdr:nvSpPr>
        <xdr:cNvPr id="451" name="CustomShape 1">
          <a:extLst>
            <a:ext uri="{FF2B5EF4-FFF2-40B4-BE49-F238E27FC236}">
              <a16:creationId xmlns:a16="http://schemas.microsoft.com/office/drawing/2014/main" id="{00000000-0008-0000-0C00-0000C3010000}"/>
            </a:ext>
          </a:extLst>
        </xdr:cNvPr>
        <xdr:cNvSpPr/>
      </xdr:nvSpPr>
      <xdr:spPr>
        <a:xfrm>
          <a:off x="4470120" y="6638400"/>
          <a:ext cx="65160" cy="340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34</xdr:row>
      <xdr:rowOff>98640</xdr:rowOff>
    </xdr:from>
    <xdr:to>
      <xdr:col>4</xdr:col>
      <xdr:colOff>154080</xdr:colOff>
      <xdr:row>36</xdr:row>
      <xdr:rowOff>77760</xdr:rowOff>
    </xdr:to>
    <xdr:sp macro="" textlink="">
      <xdr:nvSpPr>
        <xdr:cNvPr id="452" name="CustomShape 1">
          <a:extLst>
            <a:ext uri="{FF2B5EF4-FFF2-40B4-BE49-F238E27FC236}">
              <a16:creationId xmlns:a16="http://schemas.microsoft.com/office/drawing/2014/main" id="{00000000-0008-0000-0C00-0000C4010000}"/>
            </a:ext>
          </a:extLst>
        </xdr:cNvPr>
        <xdr:cNvSpPr/>
      </xdr:nvSpPr>
      <xdr:spPr>
        <a:xfrm>
          <a:off x="4470120" y="6638400"/>
          <a:ext cx="65160" cy="340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34</xdr:row>
      <xdr:rowOff>98640</xdr:rowOff>
    </xdr:from>
    <xdr:to>
      <xdr:col>4</xdr:col>
      <xdr:colOff>154080</xdr:colOff>
      <xdr:row>36</xdr:row>
      <xdr:rowOff>77760</xdr:rowOff>
    </xdr:to>
    <xdr:sp macro="" textlink="">
      <xdr:nvSpPr>
        <xdr:cNvPr id="453" name="CustomShape 1">
          <a:extLst>
            <a:ext uri="{FF2B5EF4-FFF2-40B4-BE49-F238E27FC236}">
              <a16:creationId xmlns:a16="http://schemas.microsoft.com/office/drawing/2014/main" id="{00000000-0008-0000-0C00-0000C5010000}"/>
            </a:ext>
          </a:extLst>
        </xdr:cNvPr>
        <xdr:cNvSpPr/>
      </xdr:nvSpPr>
      <xdr:spPr>
        <a:xfrm>
          <a:off x="4470120" y="6638400"/>
          <a:ext cx="65160" cy="340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22</xdr:row>
      <xdr:rowOff>221400</xdr:rowOff>
    </xdr:from>
    <xdr:to>
      <xdr:col>4</xdr:col>
      <xdr:colOff>154080</xdr:colOff>
      <xdr:row>23</xdr:row>
      <xdr:rowOff>162720</xdr:rowOff>
    </xdr:to>
    <xdr:sp macro="" textlink="">
      <xdr:nvSpPr>
        <xdr:cNvPr id="454" name="CustomShape 1">
          <a:extLst>
            <a:ext uri="{FF2B5EF4-FFF2-40B4-BE49-F238E27FC236}">
              <a16:creationId xmlns:a16="http://schemas.microsoft.com/office/drawing/2014/main" id="{00000000-0008-0000-0C00-0000C6010000}"/>
            </a:ext>
          </a:extLst>
        </xdr:cNvPr>
        <xdr:cNvSpPr/>
      </xdr:nvSpPr>
      <xdr:spPr>
        <a:xfrm>
          <a:off x="4470120" y="4214160"/>
          <a:ext cx="65160" cy="1983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22</xdr:row>
      <xdr:rowOff>221400</xdr:rowOff>
    </xdr:from>
    <xdr:to>
      <xdr:col>4</xdr:col>
      <xdr:colOff>154080</xdr:colOff>
      <xdr:row>23</xdr:row>
      <xdr:rowOff>162720</xdr:rowOff>
    </xdr:to>
    <xdr:sp macro="" textlink="">
      <xdr:nvSpPr>
        <xdr:cNvPr id="455" name="CustomShape 1">
          <a:extLst>
            <a:ext uri="{FF2B5EF4-FFF2-40B4-BE49-F238E27FC236}">
              <a16:creationId xmlns:a16="http://schemas.microsoft.com/office/drawing/2014/main" id="{00000000-0008-0000-0C00-0000C7010000}"/>
            </a:ext>
          </a:extLst>
        </xdr:cNvPr>
        <xdr:cNvSpPr/>
      </xdr:nvSpPr>
      <xdr:spPr>
        <a:xfrm>
          <a:off x="4470120" y="4214160"/>
          <a:ext cx="65160" cy="1983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22</xdr:row>
      <xdr:rowOff>221400</xdr:rowOff>
    </xdr:from>
    <xdr:to>
      <xdr:col>4</xdr:col>
      <xdr:colOff>154080</xdr:colOff>
      <xdr:row>23</xdr:row>
      <xdr:rowOff>162720</xdr:rowOff>
    </xdr:to>
    <xdr:sp macro="" textlink="">
      <xdr:nvSpPr>
        <xdr:cNvPr id="456" name="CustomShape 1">
          <a:extLst>
            <a:ext uri="{FF2B5EF4-FFF2-40B4-BE49-F238E27FC236}">
              <a16:creationId xmlns:a16="http://schemas.microsoft.com/office/drawing/2014/main" id="{00000000-0008-0000-0C00-0000C8010000}"/>
            </a:ext>
          </a:extLst>
        </xdr:cNvPr>
        <xdr:cNvSpPr/>
      </xdr:nvSpPr>
      <xdr:spPr>
        <a:xfrm>
          <a:off x="4470120" y="4214160"/>
          <a:ext cx="65160" cy="1983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22</xdr:row>
      <xdr:rowOff>221400</xdr:rowOff>
    </xdr:from>
    <xdr:to>
      <xdr:col>4</xdr:col>
      <xdr:colOff>154080</xdr:colOff>
      <xdr:row>23</xdr:row>
      <xdr:rowOff>162720</xdr:rowOff>
    </xdr:to>
    <xdr:sp macro="" textlink="">
      <xdr:nvSpPr>
        <xdr:cNvPr id="457" name="CustomShape 1">
          <a:extLst>
            <a:ext uri="{FF2B5EF4-FFF2-40B4-BE49-F238E27FC236}">
              <a16:creationId xmlns:a16="http://schemas.microsoft.com/office/drawing/2014/main" id="{00000000-0008-0000-0C00-0000C9010000}"/>
            </a:ext>
          </a:extLst>
        </xdr:cNvPr>
        <xdr:cNvSpPr/>
      </xdr:nvSpPr>
      <xdr:spPr>
        <a:xfrm>
          <a:off x="4470120" y="4214160"/>
          <a:ext cx="65160" cy="1983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21</xdr:row>
      <xdr:rowOff>221040</xdr:rowOff>
    </xdr:from>
    <xdr:to>
      <xdr:col>4</xdr:col>
      <xdr:colOff>154080</xdr:colOff>
      <xdr:row>22</xdr:row>
      <xdr:rowOff>162720</xdr:rowOff>
    </xdr:to>
    <xdr:sp macro="" textlink="">
      <xdr:nvSpPr>
        <xdr:cNvPr id="458" name="CustomShape 1">
          <a:extLst>
            <a:ext uri="{FF2B5EF4-FFF2-40B4-BE49-F238E27FC236}">
              <a16:creationId xmlns:a16="http://schemas.microsoft.com/office/drawing/2014/main" id="{00000000-0008-0000-0C00-0000CA010000}"/>
            </a:ext>
          </a:extLst>
        </xdr:cNvPr>
        <xdr:cNvSpPr/>
      </xdr:nvSpPr>
      <xdr:spPr>
        <a:xfrm>
          <a:off x="4470120" y="3956400"/>
          <a:ext cx="65160" cy="199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21</xdr:row>
      <xdr:rowOff>221040</xdr:rowOff>
    </xdr:from>
    <xdr:to>
      <xdr:col>4</xdr:col>
      <xdr:colOff>154080</xdr:colOff>
      <xdr:row>22</xdr:row>
      <xdr:rowOff>162720</xdr:rowOff>
    </xdr:to>
    <xdr:sp macro="" textlink="">
      <xdr:nvSpPr>
        <xdr:cNvPr id="459" name="CustomShape 1">
          <a:extLst>
            <a:ext uri="{FF2B5EF4-FFF2-40B4-BE49-F238E27FC236}">
              <a16:creationId xmlns:a16="http://schemas.microsoft.com/office/drawing/2014/main" id="{00000000-0008-0000-0C00-0000CB010000}"/>
            </a:ext>
          </a:extLst>
        </xdr:cNvPr>
        <xdr:cNvSpPr/>
      </xdr:nvSpPr>
      <xdr:spPr>
        <a:xfrm>
          <a:off x="4470120" y="3956400"/>
          <a:ext cx="65160" cy="199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88920</xdr:colOff>
      <xdr:row>21</xdr:row>
      <xdr:rowOff>221040</xdr:rowOff>
    </xdr:from>
    <xdr:to>
      <xdr:col>4</xdr:col>
      <xdr:colOff>154080</xdr:colOff>
      <xdr:row>22</xdr:row>
      <xdr:rowOff>162720</xdr:rowOff>
    </xdr:to>
    <xdr:sp macro="" textlink="">
      <xdr:nvSpPr>
        <xdr:cNvPr id="460" name="CustomShape 1">
          <a:extLst>
            <a:ext uri="{FF2B5EF4-FFF2-40B4-BE49-F238E27FC236}">
              <a16:creationId xmlns:a16="http://schemas.microsoft.com/office/drawing/2014/main" id="{00000000-0008-0000-0C00-0000CC010000}"/>
            </a:ext>
          </a:extLst>
        </xdr:cNvPr>
        <xdr:cNvSpPr/>
      </xdr:nvSpPr>
      <xdr:spPr>
        <a:xfrm>
          <a:off x="4470120" y="3956400"/>
          <a:ext cx="65160" cy="199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8"/>
  <sheetViews>
    <sheetView zoomScaleNormal="100" workbookViewId="0">
      <selection activeCell="F30" sqref="F30"/>
    </sheetView>
  </sheetViews>
  <sheetFormatPr defaultRowHeight="15" x14ac:dyDescent="0.25"/>
  <cols>
    <col min="1" max="1" width="7.85546875" style="16"/>
    <col min="2" max="2" width="33.28515625" style="16"/>
    <col min="3" max="7" width="11.5703125" style="16"/>
    <col min="8" max="8" width="3.42578125" style="17"/>
    <col min="9" max="14" width="7.85546875" style="16"/>
    <col min="15" max="15" width="4.42578125" style="16"/>
    <col min="16" max="17" width="7.85546875" style="16"/>
    <col min="18" max="18" width="6.140625" style="16"/>
    <col min="19" max="1025" width="7.85546875" style="16"/>
  </cols>
  <sheetData>
    <row r="1" spans="1:8" s="19" customFormat="1" ht="11.25" x14ac:dyDescent="0.25">
      <c r="A1" s="14" t="s">
        <v>0</v>
      </c>
      <c r="B1" s="14"/>
      <c r="C1" s="14"/>
      <c r="D1" s="14"/>
      <c r="E1" s="14"/>
      <c r="F1" s="14"/>
      <c r="G1" s="14"/>
    </row>
    <row r="2" spans="1:8" s="21" customFormat="1" ht="11.25" x14ac:dyDescent="0.25">
      <c r="A2" s="13" t="s">
        <v>1</v>
      </c>
      <c r="B2" s="13"/>
      <c r="C2" s="13"/>
      <c r="D2" s="13"/>
      <c r="E2" s="13"/>
      <c r="F2" s="13"/>
      <c r="G2" s="13"/>
    </row>
    <row r="3" spans="1:8" s="23" customFormat="1" ht="11.25" x14ac:dyDescent="0.25">
      <c r="A3" s="22" t="s">
        <v>2</v>
      </c>
      <c r="B3" s="22"/>
      <c r="C3" s="22"/>
      <c r="D3" s="22"/>
      <c r="E3" s="22"/>
      <c r="F3" s="22"/>
      <c r="G3" s="22"/>
    </row>
    <row r="4" spans="1:8" ht="31.35" customHeight="1" x14ac:dyDescent="0.25">
      <c r="A4" s="24" t="s">
        <v>3</v>
      </c>
      <c r="B4" s="22"/>
      <c r="C4" s="22"/>
      <c r="D4" s="22"/>
      <c r="E4" s="22"/>
      <c r="F4" s="22"/>
      <c r="G4" s="22"/>
      <c r="H4" s="25"/>
    </row>
    <row r="5" spans="1:8" ht="30.6" customHeight="1" x14ac:dyDescent="0.25">
      <c r="A5" s="26" t="s">
        <v>4</v>
      </c>
      <c r="B5" s="27"/>
      <c r="C5" s="23"/>
      <c r="D5" s="27"/>
      <c r="E5" s="27"/>
      <c r="F5" s="27"/>
      <c r="G5" s="27"/>
      <c r="H5" s="25"/>
    </row>
    <row r="6" spans="1:8" x14ac:dyDescent="0.25">
      <c r="A6" s="26" t="s">
        <v>5</v>
      </c>
      <c r="B6" s="27"/>
      <c r="C6" s="23"/>
      <c r="D6" s="27"/>
      <c r="E6" s="27"/>
      <c r="F6" s="27"/>
      <c r="G6" s="27"/>
      <c r="H6" s="25"/>
    </row>
    <row r="7" spans="1:8" x14ac:dyDescent="0.25">
      <c r="A7" s="26" t="s">
        <v>6</v>
      </c>
      <c r="B7" s="21"/>
      <c r="C7" s="21"/>
      <c r="D7" s="21"/>
      <c r="E7" s="21"/>
      <c r="F7" s="21"/>
      <c r="G7" s="21"/>
      <c r="H7" s="25"/>
    </row>
    <row r="8" spans="1:8" x14ac:dyDescent="0.25">
      <c r="A8" s="12" t="s">
        <v>7</v>
      </c>
      <c r="B8" s="12"/>
      <c r="C8" s="12"/>
      <c r="D8" s="28">
        <f>G33</f>
        <v>0</v>
      </c>
      <c r="E8" s="27"/>
      <c r="F8" s="29"/>
      <c r="G8" s="30"/>
      <c r="H8" s="25"/>
    </row>
    <row r="9" spans="1:8" x14ac:dyDescent="0.25">
      <c r="A9" s="12" t="s">
        <v>8</v>
      </c>
      <c r="B9" s="12"/>
      <c r="C9" s="12"/>
      <c r="D9" s="28">
        <f>C25</f>
        <v>0</v>
      </c>
      <c r="E9" s="27"/>
      <c r="F9" s="27"/>
      <c r="G9" s="27"/>
      <c r="H9" s="25"/>
    </row>
    <row r="10" spans="1:8" x14ac:dyDescent="0.25">
      <c r="A10" s="27"/>
      <c r="B10" s="27" t="s">
        <v>9</v>
      </c>
      <c r="C10" s="31"/>
      <c r="D10" s="27"/>
      <c r="E10" s="27"/>
      <c r="F10" s="27"/>
      <c r="G10" s="27"/>
      <c r="H10" s="25"/>
    </row>
    <row r="11" spans="1:8" ht="14.25" customHeight="1" x14ac:dyDescent="0.25">
      <c r="A11" s="11" t="s">
        <v>10</v>
      </c>
      <c r="B11" s="10" t="s">
        <v>11</v>
      </c>
      <c r="C11" s="11" t="s">
        <v>12</v>
      </c>
      <c r="D11" s="11" t="s">
        <v>13</v>
      </c>
      <c r="E11" s="11"/>
      <c r="F11" s="11"/>
      <c r="G11" s="10" t="s">
        <v>14</v>
      </c>
      <c r="H11" s="27"/>
    </row>
    <row r="12" spans="1:8" ht="22.5" x14ac:dyDescent="0.25">
      <c r="A12" s="11"/>
      <c r="B12" s="10"/>
      <c r="C12" s="11"/>
      <c r="D12" s="32" t="s">
        <v>15</v>
      </c>
      <c r="E12" s="32" t="s">
        <v>16</v>
      </c>
      <c r="F12" s="32" t="s">
        <v>17</v>
      </c>
      <c r="G12" s="10"/>
      <c r="H12" s="27"/>
    </row>
    <row r="13" spans="1:8" x14ac:dyDescent="0.25">
      <c r="A13" s="33">
        <v>1</v>
      </c>
      <c r="B13" s="34" t="str">
        <f>AR!A2</f>
        <v>Ārsienu siltināšanas darbi</v>
      </c>
      <c r="C13" s="35">
        <f>AR!M71</f>
        <v>0</v>
      </c>
      <c r="D13" s="35">
        <f>AR!N71</f>
        <v>0</v>
      </c>
      <c r="E13" s="35">
        <f>AR!O71</f>
        <v>0</v>
      </c>
      <c r="F13" s="35">
        <f>AR!P71</f>
        <v>0</v>
      </c>
      <c r="G13" s="35">
        <f>AR!Q71</f>
        <v>0</v>
      </c>
      <c r="H13" s="27"/>
    </row>
    <row r="14" spans="1:8" x14ac:dyDescent="0.25">
      <c r="A14" s="33">
        <f t="shared" ref="A14:A23" si="0">A13+1</f>
        <v>2</v>
      </c>
      <c r="B14" s="34" t="str">
        <f>Logi!C2</f>
        <v>Logu nomaiņa</v>
      </c>
      <c r="C14" s="35">
        <f>Logi!P65</f>
        <v>0</v>
      </c>
      <c r="D14" s="35">
        <f>Logi!Q65</f>
        <v>0</v>
      </c>
      <c r="E14" s="35">
        <f>Logi!R65</f>
        <v>0</v>
      </c>
      <c r="F14" s="35">
        <f>Logi!S65</f>
        <v>0</v>
      </c>
      <c r="G14" s="35">
        <f>Logi!T65</f>
        <v>0</v>
      </c>
      <c r="H14" s="27"/>
    </row>
    <row r="15" spans="1:8" x14ac:dyDescent="0.25">
      <c r="A15" s="33">
        <f t="shared" si="0"/>
        <v>3</v>
      </c>
      <c r="B15" s="36" t="str">
        <f>pagrabs!C2</f>
        <v>Pagraba siltināšana</v>
      </c>
      <c r="C15" s="35">
        <f>pagrabs!M27</f>
        <v>0</v>
      </c>
      <c r="D15" s="35">
        <f>pagrabs!N27</f>
        <v>0</v>
      </c>
      <c r="E15" s="35">
        <f>pagrabs!O27</f>
        <v>0</v>
      </c>
      <c r="F15" s="35">
        <f>pagrabs!P27</f>
        <v>0</v>
      </c>
      <c r="G15" s="35">
        <f>pagrabs!Q27</f>
        <v>0</v>
      </c>
      <c r="H15" s="27"/>
    </row>
    <row r="16" spans="1:8" x14ac:dyDescent="0.25">
      <c r="A16" s="33">
        <f t="shared" si="0"/>
        <v>4</v>
      </c>
      <c r="B16" s="36" t="str">
        <f>cokols!C2</f>
        <v>Cokola siltināšanas darbi</v>
      </c>
      <c r="C16" s="35">
        <f>cokols!M50</f>
        <v>0</v>
      </c>
      <c r="D16" s="35">
        <f>cokols!N50</f>
        <v>0</v>
      </c>
      <c r="E16" s="35">
        <f>cokols!O50</f>
        <v>0</v>
      </c>
      <c r="F16" s="35">
        <f>cokols!P50</f>
        <v>0</v>
      </c>
      <c r="G16" s="35">
        <f>cokols!Q50</f>
        <v>0</v>
      </c>
      <c r="H16" s="27"/>
    </row>
    <row r="17" spans="1:8" x14ac:dyDescent="0.25">
      <c r="A17" s="33">
        <f t="shared" si="0"/>
        <v>5</v>
      </c>
      <c r="B17" s="36" t="str">
        <f>BK!C2</f>
        <v>Būvkonstrukciju sadaļa</v>
      </c>
      <c r="C17" s="35">
        <f>BK!M25</f>
        <v>0</v>
      </c>
      <c r="D17" s="35">
        <f>BK!N25</f>
        <v>0</v>
      </c>
      <c r="E17" s="35">
        <f>BK!O25</f>
        <v>0</v>
      </c>
      <c r="F17" s="35">
        <f>BK!P25</f>
        <v>0</v>
      </c>
      <c r="G17" s="35">
        <f>BK!Q25</f>
        <v>0</v>
      </c>
      <c r="H17" s="27"/>
    </row>
    <row r="18" spans="1:8" x14ac:dyDescent="0.25">
      <c r="A18" s="33">
        <f t="shared" si="0"/>
        <v>6</v>
      </c>
      <c r="B18" s="36" t="str">
        <f>jumts!C2</f>
        <v>Jumta atjaunošana</v>
      </c>
      <c r="C18" s="35">
        <f>jumts!M114</f>
        <v>0</v>
      </c>
      <c r="D18" s="35">
        <f>jumts!N114</f>
        <v>0</v>
      </c>
      <c r="E18" s="35">
        <f>jumts!O114</f>
        <v>0</v>
      </c>
      <c r="F18" s="35">
        <f>jumts!P114</f>
        <v>0</v>
      </c>
      <c r="G18" s="35">
        <f>jumts!Q114</f>
        <v>0</v>
      </c>
      <c r="H18" s="27"/>
    </row>
    <row r="19" spans="1:8" x14ac:dyDescent="0.25">
      <c r="A19" s="33">
        <f t="shared" si="0"/>
        <v>7</v>
      </c>
      <c r="B19" s="36" t="str">
        <f>ieejas!C2</f>
        <v>Ieejas mezglu atjaunošana</v>
      </c>
      <c r="C19" s="35">
        <f>ieejas!M54</f>
        <v>0</v>
      </c>
      <c r="D19" s="35">
        <f>ieejas!N54</f>
        <v>0</v>
      </c>
      <c r="E19" s="35">
        <f>ieejas!O54</f>
        <v>0</v>
      </c>
      <c r="F19" s="35">
        <f>ieejas!P54</f>
        <v>0</v>
      </c>
      <c r="G19" s="35">
        <f>ieejas!Q54</f>
        <v>0</v>
      </c>
      <c r="H19" s="27"/>
    </row>
    <row r="20" spans="1:8" x14ac:dyDescent="0.25">
      <c r="A20" s="33">
        <f t="shared" si="0"/>
        <v>8</v>
      </c>
      <c r="B20" s="36" t="str">
        <f>lodz!C2</f>
        <v>Lodžiju un balkonu remontdarbi</v>
      </c>
      <c r="C20" s="35">
        <f>lodz!M62</f>
        <v>0</v>
      </c>
      <c r="D20" s="35">
        <f>lodz!N62</f>
        <v>0</v>
      </c>
      <c r="E20" s="35">
        <f>lodz!O62</f>
        <v>0</v>
      </c>
      <c r="F20" s="35">
        <f>lodz!P62</f>
        <v>0</v>
      </c>
      <c r="G20" s="35">
        <f>lodz!Q62</f>
        <v>0</v>
      </c>
      <c r="H20" s="27"/>
    </row>
    <row r="21" spans="1:8" x14ac:dyDescent="0.25">
      <c r="A21" s="33">
        <f t="shared" si="0"/>
        <v>9</v>
      </c>
      <c r="B21" s="36" t="str">
        <f>AVK!C2</f>
        <v>Apkures sistēmas renovācija</v>
      </c>
      <c r="C21" s="35">
        <f>AVK!M244</f>
        <v>0</v>
      </c>
      <c r="D21" s="35">
        <f>AVK!N244</f>
        <v>0</v>
      </c>
      <c r="E21" s="35">
        <f>AVK!O244</f>
        <v>0</v>
      </c>
      <c r="F21" s="35">
        <f>AVK!P244</f>
        <v>0</v>
      </c>
      <c r="G21" s="35">
        <f>AVK!Q244</f>
        <v>0</v>
      </c>
      <c r="H21" s="27"/>
    </row>
    <row r="22" spans="1:8" x14ac:dyDescent="0.25">
      <c r="A22" s="33">
        <f t="shared" si="0"/>
        <v>10</v>
      </c>
      <c r="B22" s="36" t="str">
        <f>zibens!C2</f>
        <v>Zibens aizsardzības sistēmas izbūve</v>
      </c>
      <c r="C22" s="35">
        <f>zibens!L43</f>
        <v>0</v>
      </c>
      <c r="D22" s="35">
        <f>zibens!M43</f>
        <v>0</v>
      </c>
      <c r="E22" s="35">
        <f>zibens!N43</f>
        <v>0</v>
      </c>
      <c r="F22" s="35">
        <f>zibens!O43</f>
        <v>0</v>
      </c>
      <c r="G22" s="35">
        <f>zibens!P43</f>
        <v>0</v>
      </c>
      <c r="H22" s="27"/>
    </row>
    <row r="23" spans="1:8" x14ac:dyDescent="0.25">
      <c r="A23" s="33">
        <f t="shared" si="0"/>
        <v>11</v>
      </c>
      <c r="B23" s="36" t="str">
        <f>GA!C2</f>
        <v>Gāzes apgādes sistēmas atjaunošana</v>
      </c>
      <c r="C23" s="35">
        <f>GA!L45</f>
        <v>0</v>
      </c>
      <c r="D23" s="35">
        <f>GA!M45</f>
        <v>0</v>
      </c>
      <c r="E23" s="35">
        <f>GA!N45</f>
        <v>0</v>
      </c>
      <c r="F23" s="35">
        <f>GA!O45</f>
        <v>0</v>
      </c>
      <c r="G23" s="35">
        <f>GA!P45</f>
        <v>0</v>
      </c>
      <c r="H23" s="27"/>
    </row>
    <row r="24" spans="1:8" x14ac:dyDescent="0.25">
      <c r="A24" s="37"/>
      <c r="B24" s="38"/>
      <c r="C24" s="39"/>
      <c r="D24" s="39"/>
      <c r="E24" s="39"/>
      <c r="F24" s="39"/>
      <c r="G24" s="39"/>
      <c r="H24" s="27"/>
    </row>
    <row r="25" spans="1:8" x14ac:dyDescent="0.25">
      <c r="A25" s="40"/>
      <c r="B25" s="41" t="s">
        <v>18</v>
      </c>
      <c r="C25" s="41">
        <f>SUM(C13:C24)</f>
        <v>0</v>
      </c>
      <c r="D25" s="41">
        <f>SUM(D13:D24)</f>
        <v>0</v>
      </c>
      <c r="E25" s="41">
        <f>SUM(E13:E24)</f>
        <v>0</v>
      </c>
      <c r="F25" s="41">
        <f>SUM(F13:F24)</f>
        <v>0</v>
      </c>
      <c r="G25" s="41">
        <f>SUM(G13:G24)</f>
        <v>0</v>
      </c>
      <c r="H25" s="27"/>
    </row>
    <row r="26" spans="1:8" x14ac:dyDescent="0.25">
      <c r="A26" s="42"/>
      <c r="B26" s="27"/>
      <c r="C26" s="23"/>
      <c r="D26" s="27"/>
      <c r="E26" s="43" t="s">
        <v>19</v>
      </c>
      <c r="F26" s="44"/>
      <c r="G26" s="45">
        <f>G25*F26</f>
        <v>0</v>
      </c>
      <c r="H26" s="27"/>
    </row>
    <row r="27" spans="1:8" x14ac:dyDescent="0.25">
      <c r="A27" s="27"/>
      <c r="B27" s="27"/>
      <c r="C27" s="23"/>
      <c r="D27" s="27"/>
      <c r="E27" s="43" t="s">
        <v>20</v>
      </c>
      <c r="F27" s="44"/>
      <c r="G27" s="45">
        <f>G25*F27</f>
        <v>0</v>
      </c>
      <c r="H27" s="27"/>
    </row>
    <row r="28" spans="1:8" x14ac:dyDescent="0.25">
      <c r="A28" s="27"/>
      <c r="B28" s="27"/>
      <c r="C28" s="23"/>
      <c r="D28" s="27"/>
      <c r="E28" s="43" t="s">
        <v>21</v>
      </c>
      <c r="F28" s="46">
        <v>0.2409</v>
      </c>
      <c r="G28" s="45">
        <f>D25*F28</f>
        <v>0</v>
      </c>
      <c r="H28" s="27"/>
    </row>
    <row r="29" spans="1:8" x14ac:dyDescent="0.25">
      <c r="A29" s="27"/>
      <c r="B29" s="27"/>
      <c r="C29" s="23"/>
      <c r="D29" s="27"/>
      <c r="E29" s="43" t="s">
        <v>22</v>
      </c>
      <c r="F29" s="31" t="s">
        <v>23</v>
      </c>
      <c r="G29" s="47">
        <f>SUM(G25:G28)</f>
        <v>0</v>
      </c>
      <c r="H29" s="27"/>
    </row>
    <row r="30" spans="1:8" x14ac:dyDescent="0.25">
      <c r="A30" s="27"/>
      <c r="B30" s="27"/>
      <c r="C30" s="23"/>
      <c r="D30" s="27"/>
      <c r="E30" s="43" t="s">
        <v>24</v>
      </c>
      <c r="F30" s="46">
        <v>0.02</v>
      </c>
      <c r="G30" s="47"/>
      <c r="H30" s="27"/>
    </row>
    <row r="31" spans="1:8" x14ac:dyDescent="0.25">
      <c r="A31" s="27"/>
      <c r="B31" s="27"/>
      <c r="C31" s="23"/>
      <c r="D31" s="27"/>
      <c r="E31" s="43" t="s">
        <v>22</v>
      </c>
      <c r="F31" s="31"/>
      <c r="G31" s="47"/>
      <c r="H31" s="27"/>
    </row>
    <row r="32" spans="1:8" x14ac:dyDescent="0.25">
      <c r="A32" s="27"/>
      <c r="B32" s="27"/>
      <c r="C32" s="23"/>
      <c r="D32" s="27"/>
      <c r="E32" s="48" t="s">
        <v>25</v>
      </c>
      <c r="F32" s="49">
        <v>0.21</v>
      </c>
      <c r="G32" s="50">
        <f>G29*F32</f>
        <v>0</v>
      </c>
      <c r="H32" s="27"/>
    </row>
    <row r="33" spans="1:8" x14ac:dyDescent="0.25">
      <c r="A33" s="27"/>
      <c r="B33" s="27"/>
      <c r="C33" s="23"/>
      <c r="D33" s="51"/>
      <c r="E33" s="48" t="s">
        <v>26</v>
      </c>
      <c r="F33" s="52"/>
      <c r="G33" s="50">
        <f>SUM(G29:G32)</f>
        <v>0</v>
      </c>
      <c r="H33" s="27"/>
    </row>
    <row r="34" spans="1:8" x14ac:dyDescent="0.25">
      <c r="A34" s="27"/>
      <c r="B34" s="53" t="s">
        <v>27</v>
      </c>
      <c r="C34" s="23"/>
      <c r="D34" s="27"/>
      <c r="E34" s="27"/>
      <c r="F34" s="54"/>
      <c r="G34" s="28"/>
      <c r="H34" s="27"/>
    </row>
    <row r="35" spans="1:8" x14ac:dyDescent="0.25">
      <c r="A35" s="27"/>
      <c r="B35" s="54" t="s">
        <v>28</v>
      </c>
      <c r="C35" s="23"/>
      <c r="D35" s="27"/>
      <c r="E35" s="27"/>
      <c r="F35" s="54"/>
      <c r="G35" s="28"/>
      <c r="H35" s="27"/>
    </row>
    <row r="36" spans="1:8" x14ac:dyDescent="0.25">
      <c r="A36" s="27"/>
      <c r="B36" s="43"/>
      <c r="C36" s="23"/>
      <c r="D36" s="27"/>
      <c r="E36" s="27"/>
      <c r="F36" s="27"/>
      <c r="G36" s="27"/>
    </row>
    <row r="37" spans="1:8" x14ac:dyDescent="0.25">
      <c r="A37" s="27"/>
      <c r="B37" s="55" t="s">
        <v>29</v>
      </c>
      <c r="C37" s="23"/>
      <c r="D37" s="27"/>
      <c r="E37" s="27"/>
      <c r="F37" s="27"/>
      <c r="G37" s="27"/>
    </row>
    <row r="38" spans="1:8" x14ac:dyDescent="0.25">
      <c r="A38" s="27"/>
      <c r="B38" s="48" t="s">
        <v>30</v>
      </c>
      <c r="C38" s="23"/>
      <c r="D38" s="27"/>
      <c r="E38" s="27"/>
      <c r="F38" s="27"/>
      <c r="G38" s="27"/>
    </row>
  </sheetData>
  <mergeCells count="9">
    <mergeCell ref="A1:G1"/>
    <mergeCell ref="A2:G2"/>
    <mergeCell ref="A8:C8"/>
    <mergeCell ref="A9:C9"/>
    <mergeCell ref="A11:A12"/>
    <mergeCell ref="B11:B12"/>
    <mergeCell ref="C11:C12"/>
    <mergeCell ref="D11:F11"/>
    <mergeCell ref="G11:G12"/>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MK68"/>
  <sheetViews>
    <sheetView topLeftCell="A28" zoomScaleNormal="100" zoomScalePageLayoutView="115" workbookViewId="0">
      <selection activeCell="C36" sqref="C36"/>
    </sheetView>
  </sheetViews>
  <sheetFormatPr defaultRowHeight="15" x14ac:dyDescent="0.25"/>
  <cols>
    <col min="1" max="1" width="3.7109375" style="16"/>
    <col min="2" max="2" width="4.85546875" style="16"/>
    <col min="3" max="3" width="43.5703125" style="249"/>
    <col min="4" max="4" width="4.85546875" style="16"/>
    <col min="5" max="5" width="6.28515625" style="16"/>
    <col min="6" max="6" width="0" style="17" hidden="1"/>
    <col min="7" max="7" width="8.7109375" style="57"/>
    <col min="8" max="17" width="8.7109375" style="16"/>
    <col min="18" max="250" width="8" style="16"/>
    <col min="251" max="1021" width="3.7109375" style="16"/>
    <col min="1022" max="1025" width="8.7109375" style="58"/>
  </cols>
  <sheetData>
    <row r="1" spans="1:1024" s="19" customFormat="1" ht="11.25" x14ac:dyDescent="0.25">
      <c r="B1" s="18"/>
      <c r="C1" s="18"/>
      <c r="D1" s="18"/>
      <c r="E1" s="18"/>
      <c r="F1" s="18"/>
      <c r="G1" s="18" t="s">
        <v>31</v>
      </c>
      <c r="H1" s="18">
        <f>KPDV!A20</f>
        <v>8</v>
      </c>
      <c r="I1" s="18"/>
      <c r="J1" s="18"/>
      <c r="K1" s="18"/>
      <c r="L1" s="18"/>
    </row>
    <row r="2" spans="1:1024" s="21" customFormat="1" ht="11.25" x14ac:dyDescent="0.25">
      <c r="A2" s="20"/>
      <c r="B2" s="20"/>
      <c r="C2" s="13" t="s">
        <v>379</v>
      </c>
      <c r="D2" s="13"/>
      <c r="E2" s="13"/>
      <c r="F2" s="13"/>
      <c r="G2" s="13"/>
      <c r="H2" s="20"/>
      <c r="I2" s="20"/>
      <c r="J2" s="20"/>
      <c r="K2" s="20"/>
      <c r="L2" s="20"/>
    </row>
    <row r="3" spans="1:1024" s="23" customFormat="1" ht="11.25" x14ac:dyDescent="0.25">
      <c r="A3" s="23" t="str">
        <f>KPDV!A3</f>
        <v>Būves nosaukums: Daudzdzīvokļu dzīvojamās mājas fasādes vienkāršotā atjaunošana</v>
      </c>
    </row>
    <row r="4" spans="1:1024" s="23" customFormat="1" ht="11.25" x14ac:dyDescent="0.25">
      <c r="A4" s="23" t="str">
        <f>KPDV!A4</f>
        <v>Objekta nosaukums: Daudzdzīvokļu dzīvojamās mājas Ed. Tisē ielā 48, Liepājā, 
fasādes vienkāršotā atjaunošana</v>
      </c>
    </row>
    <row r="5" spans="1:1024" s="25" customFormat="1" x14ac:dyDescent="0.25">
      <c r="A5" s="27" t="str">
        <f>KPDV!A5</f>
        <v>Objekta adrese: Tisē iela 48 Liepājā</v>
      </c>
      <c r="B5" s="27"/>
      <c r="C5" s="195"/>
      <c r="D5" s="27"/>
      <c r="E5" s="27"/>
      <c r="F5" s="27"/>
      <c r="G5" s="27"/>
      <c r="H5" s="27"/>
      <c r="I5" s="27"/>
      <c r="J5" s="27"/>
      <c r="K5" s="27"/>
      <c r="L5" s="27"/>
      <c r="M5" s="27"/>
      <c r="N5" s="27"/>
      <c r="O5" s="27"/>
      <c r="P5" s="27"/>
      <c r="Q5" s="27"/>
      <c r="AMG5"/>
      <c r="AMH5"/>
      <c r="AMI5"/>
      <c r="AMJ5"/>
    </row>
    <row r="6" spans="1:1024" s="25" customFormat="1" x14ac:dyDescent="0.25">
      <c r="A6" s="27" t="str">
        <f>KPDV!A6</f>
        <v>Pasūtījuma Nr.WS-64-15</v>
      </c>
      <c r="B6" s="27"/>
      <c r="C6" s="195"/>
      <c r="D6" s="27"/>
      <c r="E6" s="27"/>
      <c r="F6" s="27"/>
      <c r="G6" s="27"/>
      <c r="H6" s="27"/>
      <c r="I6" s="27"/>
      <c r="J6" s="27"/>
      <c r="K6" s="27"/>
      <c r="L6" s="27"/>
      <c r="M6" s="27"/>
      <c r="N6" s="27"/>
      <c r="O6" s="27"/>
      <c r="P6" s="27"/>
      <c r="Q6" s="27"/>
      <c r="AMG6"/>
      <c r="AMH6"/>
      <c r="AMI6"/>
      <c r="AMJ6"/>
    </row>
    <row r="7" spans="1:1024" s="25" customFormat="1" x14ac:dyDescent="0.25">
      <c r="A7" s="27" t="str">
        <f>KPDV!A7</f>
        <v>Pasūtītājs: SIA "Liepājas namu apsaimniekotājs"</v>
      </c>
      <c r="B7" s="27"/>
      <c r="C7" s="195"/>
      <c r="D7" s="27"/>
      <c r="E7" s="27"/>
      <c r="F7" s="27"/>
      <c r="G7" s="27"/>
      <c r="H7" s="27"/>
      <c r="I7" s="27"/>
      <c r="J7" s="27"/>
      <c r="K7" s="27"/>
      <c r="L7" s="27"/>
      <c r="M7" s="27"/>
      <c r="N7" s="27"/>
      <c r="O7" s="27"/>
      <c r="P7" s="27"/>
      <c r="Q7" s="27"/>
      <c r="AMG7"/>
      <c r="AMH7"/>
      <c r="AMI7"/>
      <c r="AMJ7"/>
    </row>
    <row r="8" spans="1:1024" s="25" customFormat="1" x14ac:dyDescent="0.25">
      <c r="A8" s="27"/>
      <c r="B8" s="27"/>
      <c r="C8" s="43" t="str">
        <f>AR!D8</f>
        <v>Tāme sastādīta 2018.gada tirgus cenās, pamatojoties uz:</v>
      </c>
      <c r="D8" s="27" t="str">
        <f>AR!E8</f>
        <v>ARun BK</v>
      </c>
      <c r="F8" s="27"/>
      <c r="G8" s="27" t="str">
        <f>AR!G8</f>
        <v>daļas rasējumiem</v>
      </c>
      <c r="H8" s="27"/>
      <c r="I8" s="27"/>
      <c r="J8" s="27"/>
      <c r="K8" s="27"/>
      <c r="L8" s="27"/>
      <c r="M8" s="27"/>
      <c r="N8" s="27"/>
      <c r="O8" s="27"/>
      <c r="P8" s="27"/>
      <c r="Q8" s="27"/>
      <c r="AMG8"/>
      <c r="AMH8"/>
      <c r="AMI8"/>
      <c r="AMJ8"/>
    </row>
    <row r="9" spans="1:1024" s="25" customFormat="1" x14ac:dyDescent="0.25">
      <c r="A9" s="9" t="str">
        <f>AR!A9</f>
        <v>Tāmes izmaksas euro:</v>
      </c>
      <c r="B9" s="9"/>
      <c r="C9" s="9"/>
      <c r="D9" s="9"/>
      <c r="E9" s="9"/>
      <c r="F9" s="9"/>
      <c r="G9" s="9"/>
      <c r="H9" s="9"/>
      <c r="I9" s="9"/>
      <c r="J9" s="9"/>
      <c r="K9" s="9"/>
      <c r="L9" s="9"/>
      <c r="M9" s="9"/>
      <c r="N9" s="9"/>
      <c r="O9" s="9"/>
      <c r="P9" s="9"/>
      <c r="Q9" s="64">
        <f>Q62</f>
        <v>0</v>
      </c>
      <c r="AMG9"/>
      <c r="AMH9"/>
      <c r="AMI9"/>
      <c r="AMJ9"/>
    </row>
    <row r="10" spans="1:1024" s="27" customFormat="1" ht="11.25" x14ac:dyDescent="0.25">
      <c r="F10" s="62"/>
      <c r="G10" s="155"/>
      <c r="H10" s="155"/>
      <c r="I10" s="155"/>
      <c r="J10" s="155"/>
      <c r="K10" s="155"/>
      <c r="L10" s="155"/>
      <c r="M10" s="155"/>
      <c r="N10" s="155"/>
      <c r="O10" s="155"/>
      <c r="P10" s="155"/>
      <c r="Q10" s="43" t="str">
        <f>KPDV!B10</f>
        <v>Tāme sastādīta  201_.gada ___.______________</v>
      </c>
    </row>
    <row r="11" spans="1:1024" s="23" customFormat="1" ht="10.15" customHeight="1" x14ac:dyDescent="0.25">
      <c r="A11" s="8" t="s">
        <v>37</v>
      </c>
      <c r="B11" s="8" t="s">
        <v>38</v>
      </c>
      <c r="C11" s="7" t="s">
        <v>39</v>
      </c>
      <c r="D11" s="6" t="s">
        <v>40</v>
      </c>
      <c r="E11" s="8" t="s">
        <v>41</v>
      </c>
      <c r="F11" s="66">
        <v>1</v>
      </c>
      <c r="G11" s="5" t="s">
        <v>42</v>
      </c>
      <c r="H11" s="5"/>
      <c r="I11" s="5"/>
      <c r="J11" s="5"/>
      <c r="K11" s="5"/>
      <c r="L11" s="5"/>
      <c r="M11" s="5" t="s">
        <v>43</v>
      </c>
      <c r="N11" s="5"/>
      <c r="O11" s="5"/>
      <c r="P11" s="5"/>
      <c r="Q11" s="5"/>
    </row>
    <row r="12" spans="1:1024" s="25" customFormat="1" ht="54" x14ac:dyDescent="0.25">
      <c r="A12" s="8"/>
      <c r="B12" s="8"/>
      <c r="C12" s="7"/>
      <c r="D12" s="6"/>
      <c r="E12" s="8"/>
      <c r="F12" s="67">
        <v>1</v>
      </c>
      <c r="G12" s="68" t="s">
        <v>44</v>
      </c>
      <c r="H12" s="69" t="s">
        <v>45</v>
      </c>
      <c r="I12" s="70" t="s">
        <v>46</v>
      </c>
      <c r="J12" s="70" t="s">
        <v>47</v>
      </c>
      <c r="K12" s="70" t="s">
        <v>48</v>
      </c>
      <c r="L12" s="71" t="s">
        <v>49</v>
      </c>
      <c r="M12" s="68" t="s">
        <v>50</v>
      </c>
      <c r="N12" s="70" t="s">
        <v>46</v>
      </c>
      <c r="O12" s="70" t="s">
        <v>47</v>
      </c>
      <c r="P12" s="70" t="s">
        <v>48</v>
      </c>
      <c r="Q12" s="71" t="s">
        <v>51</v>
      </c>
      <c r="AMG12"/>
      <c r="AMH12"/>
      <c r="AMI12"/>
      <c r="AMJ12"/>
    </row>
    <row r="13" spans="1:1024" s="25" customFormat="1" x14ac:dyDescent="0.25">
      <c r="A13" s="72">
        <v>1</v>
      </c>
      <c r="B13" s="72">
        <f>A13+1</f>
        <v>2</v>
      </c>
      <c r="C13" s="73">
        <f>B13+1</f>
        <v>3</v>
      </c>
      <c r="D13" s="72">
        <f>C13+1</f>
        <v>4</v>
      </c>
      <c r="E13" s="72">
        <f>D13+1</f>
        <v>5</v>
      </c>
      <c r="F13" s="74">
        <v>1</v>
      </c>
      <c r="G13" s="75">
        <f>E13+1</f>
        <v>6</v>
      </c>
      <c r="H13" s="76">
        <f t="shared" ref="H13:Q13" si="0">G13+1</f>
        <v>7</v>
      </c>
      <c r="I13" s="76">
        <f t="shared" si="0"/>
        <v>8</v>
      </c>
      <c r="J13" s="76">
        <f t="shared" si="0"/>
        <v>9</v>
      </c>
      <c r="K13" s="77">
        <f t="shared" si="0"/>
        <v>10</v>
      </c>
      <c r="L13" s="72">
        <f t="shared" si="0"/>
        <v>11</v>
      </c>
      <c r="M13" s="75">
        <f t="shared" si="0"/>
        <v>12</v>
      </c>
      <c r="N13" s="76">
        <f t="shared" si="0"/>
        <v>13</v>
      </c>
      <c r="O13" s="76">
        <f t="shared" si="0"/>
        <v>14</v>
      </c>
      <c r="P13" s="76">
        <f t="shared" si="0"/>
        <v>15</v>
      </c>
      <c r="Q13" s="77">
        <f t="shared" si="0"/>
        <v>16</v>
      </c>
      <c r="AMG13"/>
      <c r="AMH13"/>
      <c r="AMI13"/>
      <c r="AMJ13"/>
    </row>
    <row r="14" spans="1:1024" s="25" customFormat="1" x14ac:dyDescent="0.25">
      <c r="A14" s="33">
        <f>IF(COUNTBLANK(B14)=1," ",COUNTA(B$14:B14))</f>
        <v>1</v>
      </c>
      <c r="B14" s="78" t="s">
        <v>52</v>
      </c>
      <c r="C14" s="84" t="s">
        <v>380</v>
      </c>
      <c r="D14" s="33" t="s">
        <v>212</v>
      </c>
      <c r="E14" s="79">
        <v>29</v>
      </c>
      <c r="F14" s="33"/>
      <c r="G14" s="80"/>
      <c r="H14" s="80"/>
      <c r="I14" s="80"/>
      <c r="J14" s="80"/>
      <c r="K14" s="80"/>
      <c r="L14" s="80"/>
      <c r="M14" s="80"/>
      <c r="N14" s="80"/>
      <c r="O14" s="80"/>
      <c r="P14" s="80"/>
      <c r="Q14" s="80"/>
      <c r="AMG14"/>
      <c r="AMH14"/>
      <c r="AMI14"/>
      <c r="AMJ14"/>
    </row>
    <row r="15" spans="1:1024" s="25" customFormat="1" ht="22.5" x14ac:dyDescent="0.25">
      <c r="A15" s="33">
        <f>IF(COUNTBLANK(B15)=1," ",COUNTA(B$14:B15))</f>
        <v>2</v>
      </c>
      <c r="B15" s="78" t="s">
        <v>52</v>
      </c>
      <c r="C15" s="84" t="s">
        <v>381</v>
      </c>
      <c r="D15" s="33" t="s">
        <v>212</v>
      </c>
      <c r="E15" s="79">
        <v>90</v>
      </c>
      <c r="F15" s="80"/>
      <c r="G15" s="80"/>
      <c r="H15" s="80"/>
      <c r="I15" s="80"/>
      <c r="J15" s="87"/>
      <c r="K15" s="83"/>
      <c r="L15" s="80"/>
      <c r="M15" s="80"/>
      <c r="N15" s="80"/>
      <c r="O15" s="80"/>
      <c r="P15" s="80"/>
      <c r="Q15" s="80"/>
      <c r="AMG15"/>
      <c r="AMH15"/>
      <c r="AMI15"/>
      <c r="AMJ15"/>
    </row>
    <row r="16" spans="1:1024" s="25" customFormat="1" x14ac:dyDescent="0.25">
      <c r="A16" s="33">
        <f>IF(COUNTBLANK(B16)=1," ",COUNTA(B$14:B16))</f>
        <v>3</v>
      </c>
      <c r="B16" s="78" t="s">
        <v>52</v>
      </c>
      <c r="C16" s="84" t="s">
        <v>382</v>
      </c>
      <c r="D16" s="33" t="s">
        <v>212</v>
      </c>
      <c r="E16" s="79">
        <f>6*9</f>
        <v>54</v>
      </c>
      <c r="F16" s="80"/>
      <c r="G16" s="80"/>
      <c r="H16" s="80"/>
      <c r="I16" s="80"/>
      <c r="J16" s="87"/>
      <c r="K16" s="83"/>
      <c r="L16" s="80"/>
      <c r="M16" s="80"/>
      <c r="N16" s="80"/>
      <c r="O16" s="80"/>
      <c r="P16" s="80"/>
      <c r="Q16" s="80"/>
      <c r="AMG16"/>
      <c r="AMH16"/>
      <c r="AMI16"/>
      <c r="AMJ16"/>
    </row>
    <row r="17" spans="1:1024" s="25" customFormat="1" ht="22.5" x14ac:dyDescent="0.25">
      <c r="A17" s="33"/>
      <c r="B17" s="78"/>
      <c r="C17" s="88" t="s">
        <v>383</v>
      </c>
      <c r="D17" s="33"/>
      <c r="E17" s="79"/>
      <c r="F17" s="80"/>
      <c r="G17" s="80"/>
      <c r="H17" s="80"/>
      <c r="I17" s="80"/>
      <c r="J17" s="87"/>
      <c r="K17" s="83"/>
      <c r="L17" s="80"/>
      <c r="M17" s="80"/>
      <c r="N17" s="80"/>
      <c r="O17" s="80"/>
      <c r="P17" s="80"/>
      <c r="Q17" s="80"/>
      <c r="AMG17"/>
      <c r="AMH17"/>
      <c r="AMI17"/>
      <c r="AMJ17"/>
    </row>
    <row r="18" spans="1:1024" s="25" customFormat="1" ht="22.5" x14ac:dyDescent="0.25">
      <c r="A18" s="33">
        <f>IF(COUNTBLANK(B18)=1," ",COUNTA(B$14:B18))</f>
        <v>4</v>
      </c>
      <c r="B18" s="78" t="s">
        <v>52</v>
      </c>
      <c r="C18" s="84" t="s">
        <v>384</v>
      </c>
      <c r="D18" s="80" t="s">
        <v>60</v>
      </c>
      <c r="E18" s="79">
        <f>1.4*3*3*9</f>
        <v>113.39999999999998</v>
      </c>
      <c r="F18" s="80"/>
      <c r="G18" s="80"/>
      <c r="H18" s="80"/>
      <c r="I18" s="80"/>
      <c r="J18" s="87"/>
      <c r="K18" s="83"/>
      <c r="L18" s="80"/>
      <c r="M18" s="80"/>
      <c r="N18" s="80"/>
      <c r="O18" s="80"/>
      <c r="P18" s="80"/>
      <c r="Q18" s="80"/>
      <c r="AMG18"/>
      <c r="AMH18"/>
      <c r="AMI18"/>
      <c r="AMJ18"/>
    </row>
    <row r="19" spans="1:1024" s="25" customFormat="1" x14ac:dyDescent="0.25">
      <c r="A19" s="33" t="str">
        <f>IF(COUNTBLANK(B19)=1," ",COUNTA(B$14:B19))</f>
        <v xml:space="preserve"> </v>
      </c>
      <c r="B19" s="33"/>
      <c r="C19" s="84" t="s">
        <v>385</v>
      </c>
      <c r="D19" s="80" t="s">
        <v>257</v>
      </c>
      <c r="E19" s="80">
        <f>E18*F19</f>
        <v>1.1339999999999999</v>
      </c>
      <c r="F19" s="87">
        <v>0.01</v>
      </c>
      <c r="G19" s="80"/>
      <c r="H19" s="80"/>
      <c r="I19" s="80"/>
      <c r="J19" s="80"/>
      <c r="K19" s="83"/>
      <c r="L19" s="80"/>
      <c r="M19" s="80"/>
      <c r="N19" s="80"/>
      <c r="O19" s="80"/>
      <c r="P19" s="80"/>
      <c r="Q19" s="80"/>
      <c r="AMG19"/>
      <c r="AMH19"/>
      <c r="AMI19"/>
      <c r="AMJ19"/>
    </row>
    <row r="20" spans="1:1024" s="25" customFormat="1" ht="33.75" x14ac:dyDescent="0.25">
      <c r="A20" s="33">
        <f>IF(COUNTBLANK(B20)=1," ",COUNTA(B$14:B20))</f>
        <v>5</v>
      </c>
      <c r="B20" s="78" t="s">
        <v>52</v>
      </c>
      <c r="C20" s="84" t="s">
        <v>386</v>
      </c>
      <c r="D20" s="80" t="s">
        <v>60</v>
      </c>
      <c r="E20" s="79">
        <f>E18</f>
        <v>113.39999999999998</v>
      </c>
      <c r="F20" s="80"/>
      <c r="G20" s="80"/>
      <c r="H20" s="80"/>
      <c r="I20" s="80"/>
      <c r="J20" s="87"/>
      <c r="K20" s="83"/>
      <c r="L20" s="80"/>
      <c r="M20" s="80"/>
      <c r="N20" s="80"/>
      <c r="O20" s="80"/>
      <c r="P20" s="80"/>
      <c r="Q20" s="80"/>
      <c r="AMG20"/>
      <c r="AMH20"/>
      <c r="AMI20"/>
      <c r="AMJ20"/>
    </row>
    <row r="21" spans="1:1024" s="25" customFormat="1" x14ac:dyDescent="0.25">
      <c r="A21" s="33" t="str">
        <f>IF(COUNTBLANK(B21)=1," ",COUNTA(B$14:B21))</f>
        <v xml:space="preserve"> </v>
      </c>
      <c r="B21" s="33"/>
      <c r="C21" s="84" t="s">
        <v>387</v>
      </c>
      <c r="D21" s="80" t="s">
        <v>257</v>
      </c>
      <c r="E21" s="80">
        <f>E20*F21</f>
        <v>5.669999999999999</v>
      </c>
      <c r="F21" s="87">
        <v>0.05</v>
      </c>
      <c r="G21" s="80"/>
      <c r="H21" s="80"/>
      <c r="I21" s="80"/>
      <c r="J21" s="80"/>
      <c r="K21" s="83"/>
      <c r="L21" s="80"/>
      <c r="M21" s="80"/>
      <c r="N21" s="80"/>
      <c r="O21" s="80"/>
      <c r="P21" s="80"/>
      <c r="Q21" s="80"/>
      <c r="AMG21"/>
      <c r="AMH21"/>
      <c r="AMI21"/>
      <c r="AMJ21"/>
    </row>
    <row r="22" spans="1:1024" s="25" customFormat="1" x14ac:dyDescent="0.25">
      <c r="A22" s="33">
        <f>IF(COUNTBLANK(B22)=1," ",COUNTA(B$14:B22))</f>
        <v>6</v>
      </c>
      <c r="B22" s="78" t="s">
        <v>52</v>
      </c>
      <c r="C22" s="84" t="s">
        <v>388</v>
      </c>
      <c r="D22" s="33" t="s">
        <v>60</v>
      </c>
      <c r="E22" s="79">
        <f>E20*0.15</f>
        <v>17.009999999999994</v>
      </c>
      <c r="F22" s="33"/>
      <c r="G22" s="80"/>
      <c r="H22" s="80"/>
      <c r="I22" s="80"/>
      <c r="J22" s="80"/>
      <c r="K22" s="83"/>
      <c r="L22" s="80"/>
      <c r="M22" s="80"/>
      <c r="N22" s="80"/>
      <c r="O22" s="80"/>
      <c r="P22" s="80"/>
      <c r="Q22" s="80"/>
      <c r="AMG22"/>
      <c r="AMH22"/>
      <c r="AMI22"/>
      <c r="AMJ22"/>
    </row>
    <row r="23" spans="1:1024" s="26" customFormat="1" ht="22.5" x14ac:dyDescent="0.25">
      <c r="A23" s="33">
        <f>IF(COUNTBLANK(B23)=1," ",COUNTA(B$14:B23))</f>
        <v>7</v>
      </c>
      <c r="B23" s="78" t="s">
        <v>52</v>
      </c>
      <c r="C23" s="84" t="s">
        <v>389</v>
      </c>
      <c r="D23" s="33" t="s">
        <v>60</v>
      </c>
      <c r="E23" s="79">
        <f>E22*0.3</f>
        <v>5.102999999999998</v>
      </c>
      <c r="F23" s="80"/>
      <c r="G23" s="80"/>
      <c r="H23" s="80"/>
      <c r="I23" s="80"/>
      <c r="J23" s="80"/>
      <c r="K23" s="83"/>
      <c r="L23" s="80"/>
      <c r="M23" s="80"/>
      <c r="N23" s="80"/>
      <c r="O23" s="80"/>
      <c r="P23" s="80"/>
      <c r="Q23" s="80"/>
    </row>
    <row r="24" spans="1:1024" s="25" customFormat="1" x14ac:dyDescent="0.25">
      <c r="A24" s="33" t="str">
        <f>IF(COUNTBLANK(B24)=1," ",COUNTA(B$14:B24))</f>
        <v xml:space="preserve"> </v>
      </c>
      <c r="B24" s="78"/>
      <c r="C24" s="250" t="s">
        <v>390</v>
      </c>
      <c r="D24" s="33" t="s">
        <v>70</v>
      </c>
      <c r="E24" s="79">
        <f>E23*F24</f>
        <v>8.6750999999999969</v>
      </c>
      <c r="F24" s="80">
        <v>1.7</v>
      </c>
      <c r="G24" s="80"/>
      <c r="H24" s="80"/>
      <c r="I24" s="80"/>
      <c r="J24" s="80"/>
      <c r="K24" s="83"/>
      <c r="L24" s="80"/>
      <c r="M24" s="80"/>
      <c r="N24" s="80"/>
      <c r="O24" s="80"/>
      <c r="P24" s="80"/>
      <c r="Q24" s="80"/>
      <c r="AMG24"/>
      <c r="AMH24"/>
      <c r="AMI24"/>
      <c r="AMJ24"/>
    </row>
    <row r="25" spans="1:1024" s="25" customFormat="1" ht="22.5" x14ac:dyDescent="0.25">
      <c r="A25" s="33">
        <f>IF(COUNTBLANK(B25)=1," ",COUNTA(B$14:B25))</f>
        <v>8</v>
      </c>
      <c r="B25" s="78" t="s">
        <v>52</v>
      </c>
      <c r="C25" s="84" t="s">
        <v>391</v>
      </c>
      <c r="D25" s="33" t="s">
        <v>60</v>
      </c>
      <c r="E25" s="79">
        <f>E22</f>
        <v>17.009999999999994</v>
      </c>
      <c r="F25" s="33"/>
      <c r="G25" s="80"/>
      <c r="H25" s="80"/>
      <c r="I25" s="80"/>
      <c r="J25" s="80"/>
      <c r="K25" s="83"/>
      <c r="L25" s="80"/>
      <c r="M25" s="80"/>
      <c r="N25" s="80"/>
      <c r="O25" s="80"/>
      <c r="P25" s="80"/>
      <c r="Q25" s="80"/>
      <c r="AMG25"/>
      <c r="AMH25"/>
      <c r="AMI25"/>
      <c r="AMJ25"/>
    </row>
    <row r="26" spans="1:1024" s="25" customFormat="1" x14ac:dyDescent="0.25">
      <c r="A26" s="33" t="str">
        <f>IF(COUNTBLANK(B26)=1," ",COUNTA(B$14:B26))</f>
        <v xml:space="preserve"> </v>
      </c>
      <c r="B26" s="78"/>
      <c r="C26" s="250" t="s">
        <v>392</v>
      </c>
      <c r="D26" s="33" t="s">
        <v>70</v>
      </c>
      <c r="E26" s="79">
        <f>E25*15*F26</f>
        <v>510.29999999999984</v>
      </c>
      <c r="F26" s="33">
        <v>2</v>
      </c>
      <c r="G26" s="80"/>
      <c r="H26" s="80"/>
      <c r="I26" s="80"/>
      <c r="J26" s="80"/>
      <c r="K26" s="83"/>
      <c r="L26" s="80"/>
      <c r="M26" s="80"/>
      <c r="N26" s="80"/>
      <c r="O26" s="80"/>
      <c r="P26" s="80"/>
      <c r="Q26" s="80"/>
      <c r="AMG26"/>
      <c r="AMH26"/>
      <c r="AMI26"/>
      <c r="AMJ26"/>
    </row>
    <row r="27" spans="1:1024" s="25" customFormat="1" ht="22.5" x14ac:dyDescent="0.25">
      <c r="A27" s="33">
        <f>IF(COUNTBLANK(B27)=1," ",COUNTA(B$14:B27))</f>
        <v>9</v>
      </c>
      <c r="B27" s="78" t="s">
        <v>52</v>
      </c>
      <c r="C27" s="84" t="s">
        <v>393</v>
      </c>
      <c r="D27" s="33" t="s">
        <v>60</v>
      </c>
      <c r="E27" s="79">
        <f>E25</f>
        <v>17.009999999999994</v>
      </c>
      <c r="F27" s="33"/>
      <c r="G27" s="80"/>
      <c r="H27" s="80"/>
      <c r="I27" s="80"/>
      <c r="J27" s="80"/>
      <c r="K27" s="83"/>
      <c r="L27" s="80"/>
      <c r="M27" s="80"/>
      <c r="N27" s="80"/>
      <c r="O27" s="80"/>
      <c r="P27" s="80"/>
      <c r="Q27" s="80"/>
      <c r="AMG27"/>
      <c r="AMH27"/>
      <c r="AMI27"/>
      <c r="AMJ27"/>
    </row>
    <row r="28" spans="1:1024" s="25" customFormat="1" x14ac:dyDescent="0.25">
      <c r="A28" s="33" t="str">
        <f>IF(COUNTBLANK(B28)=1," ",COUNTA(B$14:B28))</f>
        <v xml:space="preserve"> </v>
      </c>
      <c r="B28" s="78"/>
      <c r="C28" s="250" t="s">
        <v>394</v>
      </c>
      <c r="D28" s="33" t="s">
        <v>70</v>
      </c>
      <c r="E28" s="79">
        <f>E27*1.5*F28</f>
        <v>38.272499999999994</v>
      </c>
      <c r="F28" s="33">
        <v>1.5</v>
      </c>
      <c r="G28" s="80"/>
      <c r="H28" s="80"/>
      <c r="I28" s="80"/>
      <c r="J28" s="80"/>
      <c r="K28" s="83"/>
      <c r="L28" s="80"/>
      <c r="M28" s="80"/>
      <c r="N28" s="80"/>
      <c r="O28" s="80"/>
      <c r="P28" s="80"/>
      <c r="Q28" s="80"/>
      <c r="AMG28"/>
      <c r="AMH28"/>
      <c r="AMI28"/>
      <c r="AMJ28"/>
    </row>
    <row r="29" spans="1:1024" s="25" customFormat="1" ht="22.5" x14ac:dyDescent="0.25">
      <c r="A29" s="33">
        <f>IF(COUNTBLANK(B29)=1," ",COUNTA(B$14:B29))</f>
        <v>10</v>
      </c>
      <c r="B29" s="78" t="s">
        <v>52</v>
      </c>
      <c r="C29" s="84" t="s">
        <v>395</v>
      </c>
      <c r="D29" s="33" t="s">
        <v>60</v>
      </c>
      <c r="E29" s="79">
        <f>E27</f>
        <v>17.009999999999994</v>
      </c>
      <c r="F29" s="33"/>
      <c r="G29" s="80"/>
      <c r="H29" s="80"/>
      <c r="I29" s="80"/>
      <c r="J29" s="80"/>
      <c r="K29" s="83"/>
      <c r="L29" s="80"/>
      <c r="M29" s="80"/>
      <c r="N29" s="80"/>
      <c r="O29" s="80"/>
      <c r="P29" s="80"/>
      <c r="Q29" s="80"/>
      <c r="AMG29"/>
      <c r="AMH29"/>
      <c r="AMI29"/>
      <c r="AMJ29"/>
    </row>
    <row r="30" spans="1:1024" s="25" customFormat="1" ht="23.1" customHeight="1" x14ac:dyDescent="0.25">
      <c r="A30" s="33">
        <f>IF(COUNTBLANK(B30)=1," ",COUNTA(B$14:B30))</f>
        <v>11</v>
      </c>
      <c r="B30" s="78" t="s">
        <v>52</v>
      </c>
      <c r="C30" s="84" t="s">
        <v>396</v>
      </c>
      <c r="D30" s="33" t="s">
        <v>60</v>
      </c>
      <c r="E30" s="79">
        <f>E29</f>
        <v>17.009999999999994</v>
      </c>
      <c r="F30" s="80"/>
      <c r="G30" s="80"/>
      <c r="H30" s="80"/>
      <c r="I30" s="80"/>
      <c r="J30" s="80"/>
      <c r="K30" s="83"/>
      <c r="L30" s="80"/>
      <c r="M30" s="80"/>
      <c r="N30" s="80"/>
      <c r="O30" s="80"/>
      <c r="P30" s="80"/>
      <c r="Q30" s="80"/>
      <c r="AMG30"/>
      <c r="AMH30"/>
      <c r="AMI30"/>
      <c r="AMJ30"/>
    </row>
    <row r="31" spans="1:1024" s="25" customFormat="1" x14ac:dyDescent="0.25">
      <c r="A31" s="33" t="str">
        <f>IF(COUNTBLANK(B31)=1," ",COUNTA(B$14:B31))</f>
        <v xml:space="preserve"> </v>
      </c>
      <c r="B31" s="78"/>
      <c r="C31" s="84" t="s">
        <v>397</v>
      </c>
      <c r="D31" s="33" t="s">
        <v>70</v>
      </c>
      <c r="E31" s="79">
        <f>E30*F31</f>
        <v>59.534999999999982</v>
      </c>
      <c r="F31" s="80">
        <v>3.5</v>
      </c>
      <c r="G31" s="80"/>
      <c r="H31" s="80"/>
      <c r="I31" s="80"/>
      <c r="J31" s="80"/>
      <c r="K31" s="83"/>
      <c r="L31" s="80"/>
      <c r="M31" s="80"/>
      <c r="N31" s="80"/>
      <c r="O31" s="80"/>
      <c r="P31" s="80"/>
      <c r="Q31" s="80"/>
      <c r="AMG31"/>
      <c r="AMH31"/>
      <c r="AMI31"/>
      <c r="AMJ31"/>
    </row>
    <row r="32" spans="1:1024" s="25" customFormat="1" ht="22.5" x14ac:dyDescent="0.25">
      <c r="A32" s="33">
        <f>IF(COUNTBLANK(B32)=1," ",COUNTA(B$14:B32))</f>
        <v>12</v>
      </c>
      <c r="B32" s="78" t="s">
        <v>52</v>
      </c>
      <c r="C32" s="84" t="s">
        <v>398</v>
      </c>
      <c r="D32" s="33" t="s">
        <v>54</v>
      </c>
      <c r="E32" s="33">
        <f>4.2*3*9</f>
        <v>113.4</v>
      </c>
      <c r="F32" s="80"/>
      <c r="G32" s="80"/>
      <c r="H32" s="80"/>
      <c r="I32" s="80"/>
      <c r="J32" s="80"/>
      <c r="K32" s="83"/>
      <c r="L32" s="80"/>
      <c r="M32" s="80"/>
      <c r="N32" s="80"/>
      <c r="O32" s="80"/>
      <c r="P32" s="80"/>
      <c r="Q32" s="80"/>
      <c r="AMG32"/>
      <c r="AMH32"/>
      <c r="AMI32"/>
      <c r="AMJ32"/>
    </row>
    <row r="33" spans="1:1024" s="26" customFormat="1" ht="22.5" x14ac:dyDescent="0.25">
      <c r="A33" s="33">
        <f>IF(COUNTBLANK(B33)=1," ",COUNTA(B$14:B33))</f>
        <v>13</v>
      </c>
      <c r="B33" s="78" t="s">
        <v>52</v>
      </c>
      <c r="C33" s="84" t="s">
        <v>399</v>
      </c>
      <c r="D33" s="33" t="s">
        <v>60</v>
      </c>
      <c r="E33" s="79">
        <v>50</v>
      </c>
      <c r="F33" s="80"/>
      <c r="G33" s="80"/>
      <c r="H33" s="80"/>
      <c r="I33" s="80"/>
      <c r="J33" s="80"/>
      <c r="K33" s="83"/>
      <c r="L33" s="80"/>
      <c r="M33" s="80"/>
      <c r="N33" s="80"/>
      <c r="O33" s="80"/>
      <c r="P33" s="80"/>
      <c r="Q33" s="80"/>
    </row>
    <row r="34" spans="1:1024" s="27" customFormat="1" ht="11.25" x14ac:dyDescent="0.25">
      <c r="A34" s="33" t="str">
        <f>IF(COUNTBLANK(B34)=1," ",COUNTA(B$14:B34))</f>
        <v xml:space="preserve"> </v>
      </c>
      <c r="B34" s="33"/>
      <c r="C34" s="84" t="s">
        <v>276</v>
      </c>
      <c r="D34" s="33" t="s">
        <v>70</v>
      </c>
      <c r="E34" s="80">
        <f>E33*F34</f>
        <v>20</v>
      </c>
      <c r="F34" s="80">
        <v>0.4</v>
      </c>
      <c r="G34" s="80"/>
      <c r="H34" s="80"/>
      <c r="I34" s="80"/>
      <c r="J34" s="80"/>
      <c r="K34" s="83"/>
      <c r="L34" s="80"/>
      <c r="M34" s="80"/>
      <c r="N34" s="80"/>
      <c r="O34" s="80"/>
      <c r="P34" s="80"/>
      <c r="Q34" s="80"/>
    </row>
    <row r="35" spans="1:1024" s="25" customFormat="1" x14ac:dyDescent="0.25">
      <c r="A35" s="90" t="str">
        <f>IF(COUNTBLANK(B35)=1," ",COUNTA($B$13:B35))</f>
        <v xml:space="preserve"> </v>
      </c>
      <c r="B35" s="240"/>
      <c r="C35" s="32" t="s">
        <v>400</v>
      </c>
      <c r="D35" s="33" t="s">
        <v>56</v>
      </c>
      <c r="E35" s="86">
        <v>10</v>
      </c>
      <c r="F35" s="86"/>
      <c r="G35" s="251"/>
      <c r="H35" s="251"/>
      <c r="I35" s="251"/>
      <c r="J35" s="86"/>
      <c r="K35" s="83"/>
      <c r="L35" s="80"/>
      <c r="M35" s="80"/>
      <c r="N35" s="80"/>
      <c r="O35" s="80"/>
      <c r="P35" s="80"/>
      <c r="Q35" s="80"/>
      <c r="AMG35"/>
      <c r="AMH35"/>
      <c r="AMI35"/>
      <c r="AMJ35"/>
    </row>
    <row r="36" spans="1:1024" s="25" customFormat="1" ht="46.35" customHeight="1" x14ac:dyDescent="0.25">
      <c r="A36" s="33">
        <f>IF(COUNTBLANK(B36)=1," ",COUNTA(B$14:B36))</f>
        <v>14</v>
      </c>
      <c r="B36" s="78" t="s">
        <v>52</v>
      </c>
      <c r="C36" s="84" t="s">
        <v>401</v>
      </c>
      <c r="D36" s="33" t="s">
        <v>60</v>
      </c>
      <c r="E36" s="79">
        <f>26*7*0.15+(13*2+6.5)*9*0.15</f>
        <v>71.174999999999997</v>
      </c>
      <c r="F36" s="80"/>
      <c r="G36" s="80"/>
      <c r="H36" s="80"/>
      <c r="I36" s="80"/>
      <c r="J36" s="80"/>
      <c r="K36" s="83"/>
      <c r="L36" s="80"/>
      <c r="M36" s="80"/>
      <c r="N36" s="80"/>
      <c r="O36" s="80"/>
      <c r="P36" s="80"/>
      <c r="Q36" s="80"/>
      <c r="AMG36"/>
      <c r="AMH36"/>
      <c r="AMI36"/>
      <c r="AMJ36"/>
    </row>
    <row r="37" spans="1:1024" s="25" customFormat="1" x14ac:dyDescent="0.25">
      <c r="A37" s="90"/>
      <c r="B37" s="237"/>
      <c r="C37" s="84" t="s">
        <v>69</v>
      </c>
      <c r="D37" s="90" t="s">
        <v>70</v>
      </c>
      <c r="E37" s="80">
        <f>ROUNDUP(E36*F37,2)</f>
        <v>17.8</v>
      </c>
      <c r="F37" s="80">
        <v>0.25</v>
      </c>
      <c r="G37" s="80"/>
      <c r="H37" s="80"/>
      <c r="I37" s="80"/>
      <c r="J37" s="80"/>
      <c r="K37" s="83"/>
      <c r="L37" s="80"/>
      <c r="M37" s="80"/>
      <c r="N37" s="80"/>
      <c r="O37" s="80"/>
      <c r="P37" s="80"/>
      <c r="Q37" s="80"/>
      <c r="AMG37"/>
      <c r="AMH37"/>
      <c r="AMI37"/>
      <c r="AMJ37"/>
    </row>
    <row r="38" spans="1:1024" s="25" customFormat="1" x14ac:dyDescent="0.25">
      <c r="A38" s="90"/>
      <c r="B38" s="237"/>
      <c r="C38" s="84" t="s">
        <v>75</v>
      </c>
      <c r="D38" s="90" t="s">
        <v>70</v>
      </c>
      <c r="E38" s="79">
        <f>ROUNDUP(E36*F38,2)</f>
        <v>355.88</v>
      </c>
      <c r="F38" s="80">
        <v>5</v>
      </c>
      <c r="G38" s="80"/>
      <c r="H38" s="80"/>
      <c r="I38" s="80"/>
      <c r="J38" s="80"/>
      <c r="K38" s="83"/>
      <c r="L38" s="80"/>
      <c r="M38" s="80"/>
      <c r="N38" s="80"/>
      <c r="O38" s="80"/>
      <c r="P38" s="80"/>
      <c r="Q38" s="80"/>
      <c r="AMG38"/>
      <c r="AMH38"/>
      <c r="AMI38"/>
      <c r="AMJ38"/>
    </row>
    <row r="39" spans="1:1024" s="25" customFormat="1" x14ac:dyDescent="0.25">
      <c r="A39" s="90"/>
      <c r="B39" s="237"/>
      <c r="C39" s="84" t="s">
        <v>402</v>
      </c>
      <c r="D39" s="33" t="s">
        <v>60</v>
      </c>
      <c r="E39" s="80">
        <f>E36*F39</f>
        <v>78.292500000000004</v>
      </c>
      <c r="F39" s="80">
        <v>1.1000000000000001</v>
      </c>
      <c r="G39" s="80"/>
      <c r="H39" s="33"/>
      <c r="I39" s="80"/>
      <c r="J39" s="80"/>
      <c r="K39" s="83"/>
      <c r="L39" s="80"/>
      <c r="M39" s="80"/>
      <c r="N39" s="80"/>
      <c r="O39" s="80"/>
      <c r="P39" s="80"/>
      <c r="Q39" s="80"/>
      <c r="AMG39"/>
      <c r="AMH39"/>
      <c r="AMI39"/>
      <c r="AMJ39"/>
    </row>
    <row r="40" spans="1:1024" s="25" customFormat="1" x14ac:dyDescent="0.25">
      <c r="A40" s="90"/>
      <c r="B40" s="33"/>
      <c r="C40" s="84" t="s">
        <v>78</v>
      </c>
      <c r="D40" s="33" t="s">
        <v>77</v>
      </c>
      <c r="E40" s="80">
        <f>(E33++E34+E35)*F40</f>
        <v>480</v>
      </c>
      <c r="F40" s="80">
        <v>6</v>
      </c>
      <c r="G40" s="80"/>
      <c r="H40" s="80"/>
      <c r="I40" s="33"/>
      <c r="J40" s="80"/>
      <c r="K40" s="83"/>
      <c r="L40" s="80"/>
      <c r="M40" s="80"/>
      <c r="N40" s="80"/>
      <c r="O40" s="80"/>
      <c r="P40" s="80"/>
      <c r="Q40" s="80"/>
      <c r="AMG40"/>
      <c r="AMH40"/>
      <c r="AMI40"/>
      <c r="AMJ40"/>
    </row>
    <row r="41" spans="1:1024" s="25" customFormat="1" x14ac:dyDescent="0.25">
      <c r="A41" s="90"/>
      <c r="B41" s="240"/>
      <c r="C41" s="84" t="s">
        <v>403</v>
      </c>
      <c r="D41" s="90" t="s">
        <v>70</v>
      </c>
      <c r="E41" s="80">
        <f>E36*F41</f>
        <v>355.875</v>
      </c>
      <c r="F41" s="80">
        <v>5</v>
      </c>
      <c r="G41" s="80"/>
      <c r="H41" s="80"/>
      <c r="I41" s="80"/>
      <c r="J41" s="80"/>
      <c r="K41" s="80"/>
      <c r="L41" s="80"/>
      <c r="M41" s="81"/>
      <c r="N41" s="81"/>
      <c r="O41" s="81"/>
      <c r="P41" s="81"/>
      <c r="Q41" s="81"/>
      <c r="AMG41"/>
      <c r="AMH41"/>
      <c r="AMI41"/>
      <c r="AMJ41"/>
    </row>
    <row r="42" spans="1:1024" s="25" customFormat="1" x14ac:dyDescent="0.25">
      <c r="A42" s="90"/>
      <c r="B42" s="240"/>
      <c r="C42" s="84" t="s">
        <v>85</v>
      </c>
      <c r="D42" s="94" t="s">
        <v>60</v>
      </c>
      <c r="E42" s="80">
        <f>E36*F42</f>
        <v>78.292500000000004</v>
      </c>
      <c r="F42" s="80">
        <v>1.1000000000000001</v>
      </c>
      <c r="G42" s="80"/>
      <c r="H42" s="80"/>
      <c r="I42" s="80"/>
      <c r="J42" s="80"/>
      <c r="K42" s="80"/>
      <c r="L42" s="80"/>
      <c r="M42" s="81"/>
      <c r="N42" s="81"/>
      <c r="O42" s="81"/>
      <c r="P42" s="81"/>
      <c r="Q42" s="81"/>
      <c r="AMG42"/>
      <c r="AMH42"/>
      <c r="AMI42"/>
      <c r="AMJ42"/>
    </row>
    <row r="43" spans="1:1024" s="25" customFormat="1" x14ac:dyDescent="0.25">
      <c r="A43" s="90">
        <f>IF(COUNTBLANK(B43)=1," ",COUNTA($B$13:B43))</f>
        <v>16</v>
      </c>
      <c r="B43" s="237" t="s">
        <v>52</v>
      </c>
      <c r="C43" s="36" t="s">
        <v>404</v>
      </c>
      <c r="D43" s="33" t="s">
        <v>54</v>
      </c>
      <c r="E43" s="79">
        <f>(13*2+6.5)*9</f>
        <v>292.5</v>
      </c>
      <c r="F43" s="86"/>
      <c r="G43" s="251"/>
      <c r="H43" s="251"/>
      <c r="I43" s="251"/>
      <c r="J43" s="251"/>
      <c r="K43" s="251"/>
      <c r="L43" s="252"/>
      <c r="M43" s="252"/>
      <c r="N43" s="252"/>
      <c r="O43" s="252"/>
      <c r="P43" s="252"/>
      <c r="Q43" s="252"/>
      <c r="AMG43"/>
      <c r="AMH43"/>
      <c r="AMI43"/>
      <c r="AMJ43"/>
    </row>
    <row r="44" spans="1:1024" s="25" customFormat="1" x14ac:dyDescent="0.25">
      <c r="A44" s="90" t="str">
        <f>IF(COUNTBLANK(B44)=1," ",COUNTA($B$13:B44))</f>
        <v xml:space="preserve"> </v>
      </c>
      <c r="B44" s="240"/>
      <c r="C44" s="36" t="s">
        <v>405</v>
      </c>
      <c r="D44" s="33" t="s">
        <v>406</v>
      </c>
      <c r="E44" s="86">
        <f>E43/0.5</f>
        <v>585</v>
      </c>
      <c r="F44" s="86"/>
      <c r="G44" s="251"/>
      <c r="H44" s="251"/>
      <c r="I44" s="253"/>
      <c r="J44" s="86"/>
      <c r="K44" s="86"/>
      <c r="L44" s="252"/>
      <c r="M44" s="252"/>
      <c r="N44" s="252"/>
      <c r="O44" s="252"/>
      <c r="P44" s="252"/>
      <c r="Q44" s="252"/>
      <c r="AMG44"/>
      <c r="AMH44"/>
      <c r="AMI44"/>
      <c r="AMJ44"/>
    </row>
    <row r="45" spans="1:1024" s="25" customFormat="1" x14ac:dyDescent="0.25">
      <c r="A45" s="90" t="str">
        <f>IF(COUNTBLANK(B45)=1," ",COUNTA($B$13:B45))</f>
        <v xml:space="preserve"> </v>
      </c>
      <c r="B45" s="240"/>
      <c r="C45" s="36" t="s">
        <v>407</v>
      </c>
      <c r="D45" s="33" t="s">
        <v>56</v>
      </c>
      <c r="E45" s="86">
        <f>E44</f>
        <v>585</v>
      </c>
      <c r="F45" s="86"/>
      <c r="G45" s="251"/>
      <c r="H45" s="251"/>
      <c r="I45" s="253"/>
      <c r="J45" s="86"/>
      <c r="K45" s="86"/>
      <c r="L45" s="252"/>
      <c r="M45" s="252"/>
      <c r="N45" s="252"/>
      <c r="O45" s="252"/>
      <c r="P45" s="252"/>
      <c r="Q45" s="252"/>
      <c r="AMG45"/>
      <c r="AMH45"/>
      <c r="AMI45"/>
      <c r="AMJ45"/>
    </row>
    <row r="46" spans="1:1024" s="25" customFormat="1" x14ac:dyDescent="0.25">
      <c r="A46" s="90" t="str">
        <f>IF(COUNTBLANK(B46)=1," ",COUNTA($B$13:B46))</f>
        <v xml:space="preserve"> </v>
      </c>
      <c r="B46" s="240"/>
      <c r="C46" s="36" t="s">
        <v>408</v>
      </c>
      <c r="D46" s="33" t="s">
        <v>56</v>
      </c>
      <c r="E46" s="86">
        <f>E45</f>
        <v>585</v>
      </c>
      <c r="F46" s="86"/>
      <c r="G46" s="251"/>
      <c r="H46" s="251"/>
      <c r="I46" s="253"/>
      <c r="J46" s="86"/>
      <c r="K46" s="86"/>
      <c r="L46" s="252"/>
      <c r="M46" s="252"/>
      <c r="N46" s="252"/>
      <c r="O46" s="252"/>
      <c r="P46" s="252"/>
      <c r="Q46" s="252"/>
      <c r="AMG46"/>
      <c r="AMH46"/>
      <c r="AMI46"/>
      <c r="AMJ46"/>
    </row>
    <row r="47" spans="1:1024" s="25" customFormat="1" ht="22.5" x14ac:dyDescent="0.25">
      <c r="A47" s="33">
        <f>IF(COUNTBLANK(B47)=1," ",COUNTA($B$13:B47))</f>
        <v>17</v>
      </c>
      <c r="B47" s="237" t="s">
        <v>52</v>
      </c>
      <c r="C47" s="36" t="s">
        <v>409</v>
      </c>
      <c r="D47" s="33" t="s">
        <v>60</v>
      </c>
      <c r="E47" s="79">
        <f>(13*2+6.5)*9*0.45</f>
        <v>131.625</v>
      </c>
      <c r="F47" s="86"/>
      <c r="G47" s="251"/>
      <c r="H47" s="251"/>
      <c r="I47" s="251"/>
      <c r="J47" s="251"/>
      <c r="K47" s="251"/>
      <c r="L47" s="252"/>
      <c r="M47" s="252"/>
      <c r="N47" s="252"/>
      <c r="O47" s="252"/>
      <c r="P47" s="252"/>
      <c r="Q47" s="252"/>
      <c r="AMG47"/>
      <c r="AMH47"/>
      <c r="AMI47"/>
      <c r="AMJ47"/>
    </row>
    <row r="48" spans="1:1024" s="25" customFormat="1" x14ac:dyDescent="0.25">
      <c r="A48" s="33"/>
      <c r="B48" s="33"/>
      <c r="C48" s="84" t="s">
        <v>410</v>
      </c>
      <c r="D48" s="33" t="s">
        <v>60</v>
      </c>
      <c r="E48" s="79">
        <f>E47*1.1</f>
        <v>144.78750000000002</v>
      </c>
      <c r="F48" s="86"/>
      <c r="G48" s="251"/>
      <c r="H48" s="251"/>
      <c r="I48" s="251"/>
      <c r="J48" s="251"/>
      <c r="K48" s="251"/>
      <c r="L48" s="252"/>
      <c r="M48" s="252"/>
      <c r="N48" s="252"/>
      <c r="O48" s="252"/>
      <c r="P48" s="252"/>
      <c r="Q48" s="252"/>
      <c r="AMG48"/>
      <c r="AMH48"/>
      <c r="AMI48"/>
      <c r="AMJ48"/>
    </row>
    <row r="49" spans="1:1024" s="25" customFormat="1" x14ac:dyDescent="0.25">
      <c r="A49" s="37"/>
      <c r="B49" s="37"/>
      <c r="C49" s="88" t="s">
        <v>411</v>
      </c>
      <c r="D49" s="37"/>
      <c r="E49" s="254"/>
      <c r="F49" s="159"/>
      <c r="G49" s="255"/>
      <c r="H49" s="255"/>
      <c r="I49" s="255"/>
      <c r="J49" s="255"/>
      <c r="K49" s="255"/>
      <c r="L49" s="256"/>
      <c r="M49" s="256"/>
      <c r="N49" s="256"/>
      <c r="O49" s="256"/>
      <c r="P49" s="256"/>
      <c r="Q49" s="256"/>
      <c r="AMG49"/>
      <c r="AMH49"/>
      <c r="AMI49"/>
      <c r="AMJ49"/>
    </row>
    <row r="50" spans="1:1024" s="25" customFormat="1" x14ac:dyDescent="0.25">
      <c r="A50" s="33">
        <f>IF(COUNTBLANK(B50)=1," ",COUNTA($B$13:B50))</f>
        <v>18</v>
      </c>
      <c r="B50" s="237" t="s">
        <v>52</v>
      </c>
      <c r="C50" s="36" t="s">
        <v>412</v>
      </c>
      <c r="D50" s="33" t="s">
        <v>77</v>
      </c>
      <c r="E50" s="33">
        <v>90</v>
      </c>
      <c r="F50" s="159"/>
      <c r="G50" s="255"/>
      <c r="H50" s="255"/>
      <c r="I50" s="255"/>
      <c r="J50" s="255"/>
      <c r="K50" s="255"/>
      <c r="L50" s="256"/>
      <c r="M50" s="256"/>
      <c r="N50" s="256"/>
      <c r="O50" s="256"/>
      <c r="P50" s="256"/>
      <c r="Q50" s="256"/>
      <c r="AMG50"/>
      <c r="AMH50"/>
      <c r="AMI50"/>
      <c r="AMJ50"/>
    </row>
    <row r="51" spans="1:1024" s="25" customFormat="1" x14ac:dyDescent="0.25">
      <c r="A51" s="33">
        <f>IF(COUNTBLANK(B51)=1," ",COUNTA($B$13:B51))</f>
        <v>19</v>
      </c>
      <c r="B51" s="237" t="s">
        <v>52</v>
      </c>
      <c r="C51" s="36" t="s">
        <v>413</v>
      </c>
      <c r="D51" s="33" t="s">
        <v>77</v>
      </c>
      <c r="E51" s="33">
        <v>190</v>
      </c>
      <c r="F51" s="159"/>
      <c r="G51" s="255"/>
      <c r="H51" s="255"/>
      <c r="I51" s="255"/>
      <c r="J51" s="255"/>
      <c r="K51" s="255"/>
      <c r="L51" s="256"/>
      <c r="M51" s="256"/>
      <c r="N51" s="256"/>
      <c r="O51" s="256"/>
      <c r="P51" s="256"/>
      <c r="Q51" s="256"/>
      <c r="AMG51"/>
      <c r="AMH51"/>
      <c r="AMI51"/>
      <c r="AMJ51"/>
    </row>
    <row r="52" spans="1:1024" s="25" customFormat="1" ht="22.5" x14ac:dyDescent="0.25">
      <c r="A52" s="33">
        <f>IF(COUNTBLANK(B52)=1," ",COUNTA($B$13:B52))</f>
        <v>20</v>
      </c>
      <c r="B52" s="237" t="s">
        <v>52</v>
      </c>
      <c r="C52" s="36" t="s">
        <v>414</v>
      </c>
      <c r="D52" s="33" t="s">
        <v>70</v>
      </c>
      <c r="E52" s="33">
        <v>3051</v>
      </c>
      <c r="F52" s="159"/>
      <c r="G52" s="255"/>
      <c r="H52" s="255"/>
      <c r="I52" s="255"/>
      <c r="J52" s="255"/>
      <c r="K52" s="255"/>
      <c r="L52" s="256"/>
      <c r="M52" s="256"/>
      <c r="N52" s="256"/>
      <c r="O52" s="256"/>
      <c r="P52" s="256"/>
      <c r="Q52" s="256"/>
      <c r="AMG52"/>
      <c r="AMH52"/>
      <c r="AMI52"/>
      <c r="AMJ52"/>
    </row>
    <row r="53" spans="1:1024" s="25" customFormat="1" ht="22.5" x14ac:dyDescent="0.25">
      <c r="A53" s="33">
        <f>IF(COUNTBLANK(B53)=1," ",COUNTA($B$13:B53))</f>
        <v>21</v>
      </c>
      <c r="B53" s="237" t="s">
        <v>52</v>
      </c>
      <c r="C53" s="36" t="s">
        <v>415</v>
      </c>
      <c r="D53" s="33" t="s">
        <v>70</v>
      </c>
      <c r="E53" s="33">
        <v>308.88</v>
      </c>
      <c r="F53" s="159"/>
      <c r="G53" s="255"/>
      <c r="H53" s="255"/>
      <c r="I53" s="255"/>
      <c r="J53" s="255"/>
      <c r="K53" s="255"/>
      <c r="L53" s="256"/>
      <c r="M53" s="256"/>
      <c r="N53" s="256"/>
      <c r="O53" s="256"/>
      <c r="P53" s="256"/>
      <c r="Q53" s="256"/>
      <c r="AMG53"/>
      <c r="AMH53"/>
      <c r="AMI53"/>
      <c r="AMJ53"/>
    </row>
    <row r="54" spans="1:1024" s="25" customFormat="1" x14ac:dyDescent="0.25">
      <c r="A54" s="33">
        <f>IF(COUNTBLANK(B54)=1," ",COUNTA($B$13:B54))</f>
        <v>22</v>
      </c>
      <c r="B54" s="237" t="s">
        <v>52</v>
      </c>
      <c r="C54" s="36" t="s">
        <v>416</v>
      </c>
      <c r="D54" s="33" t="s">
        <v>77</v>
      </c>
      <c r="E54" s="33">
        <v>240</v>
      </c>
      <c r="F54" s="159"/>
      <c r="G54" s="255"/>
      <c r="H54" s="255"/>
      <c r="I54" s="255"/>
      <c r="J54" s="255"/>
      <c r="K54" s="255"/>
      <c r="L54" s="256"/>
      <c r="M54" s="256"/>
      <c r="N54" s="256"/>
      <c r="O54" s="256"/>
      <c r="P54" s="256"/>
      <c r="Q54" s="256"/>
      <c r="AMG54"/>
      <c r="AMH54"/>
      <c r="AMI54"/>
      <c r="AMJ54"/>
    </row>
    <row r="55" spans="1:1024" s="25" customFormat="1" ht="33.75" x14ac:dyDescent="0.25">
      <c r="A55" s="33">
        <f>IF(COUNTBLANK(B55)=1," ",COUNTA($B$13:B55))</f>
        <v>23</v>
      </c>
      <c r="B55" s="237" t="s">
        <v>52</v>
      </c>
      <c r="C55" s="36" t="s">
        <v>417</v>
      </c>
      <c r="D55" s="33" t="s">
        <v>70</v>
      </c>
      <c r="E55" s="33">
        <v>455</v>
      </c>
      <c r="F55" s="159"/>
      <c r="G55" s="255"/>
      <c r="H55" s="255"/>
      <c r="I55" s="255"/>
      <c r="J55" s="255"/>
      <c r="K55" s="255"/>
      <c r="L55" s="256"/>
      <c r="M55" s="256"/>
      <c r="N55" s="256"/>
      <c r="O55" s="256"/>
      <c r="P55" s="256"/>
      <c r="Q55" s="256"/>
      <c r="AMG55"/>
      <c r="AMH55"/>
      <c r="AMI55"/>
      <c r="AMJ55"/>
    </row>
    <row r="56" spans="1:1024" s="25" customFormat="1" x14ac:dyDescent="0.25">
      <c r="A56" s="33">
        <f>IF(COUNTBLANK(B56)=1," ",COUNTA($B$13:B56))</f>
        <v>24</v>
      </c>
      <c r="B56" s="237" t="s">
        <v>52</v>
      </c>
      <c r="C56" s="36" t="s">
        <v>418</v>
      </c>
      <c r="D56" s="33" t="s">
        <v>77</v>
      </c>
      <c r="E56" s="33">
        <v>1080</v>
      </c>
      <c r="F56" s="159"/>
      <c r="G56" s="255"/>
      <c r="H56" s="255"/>
      <c r="I56" s="255"/>
      <c r="J56" s="255"/>
      <c r="K56" s="255"/>
      <c r="L56" s="256"/>
      <c r="M56" s="256"/>
      <c r="N56" s="256"/>
      <c r="O56" s="256"/>
      <c r="P56" s="256"/>
      <c r="Q56" s="256"/>
      <c r="AMG56"/>
      <c r="AMH56"/>
      <c r="AMI56"/>
      <c r="AMJ56"/>
    </row>
    <row r="57" spans="1:1024" s="25" customFormat="1" x14ac:dyDescent="0.25">
      <c r="A57" s="33">
        <f>IF(COUNTBLANK(B57)=1," ",COUNTA($B$13:B57))</f>
        <v>25</v>
      </c>
      <c r="B57" s="237" t="s">
        <v>52</v>
      </c>
      <c r="C57" s="36" t="s">
        <v>419</v>
      </c>
      <c r="D57" s="33" t="s">
        <v>60</v>
      </c>
      <c r="E57" s="33">
        <v>120</v>
      </c>
      <c r="F57" s="159"/>
      <c r="G57" s="255"/>
      <c r="H57" s="255"/>
      <c r="I57" s="255"/>
      <c r="J57" s="255"/>
      <c r="K57" s="255"/>
      <c r="L57" s="256"/>
      <c r="M57" s="256"/>
      <c r="N57" s="256"/>
      <c r="O57" s="256"/>
      <c r="P57" s="256"/>
      <c r="Q57" s="256"/>
      <c r="AMG57"/>
      <c r="AMH57"/>
      <c r="AMI57"/>
      <c r="AMJ57"/>
    </row>
    <row r="58" spans="1:1024" s="25" customFormat="1" x14ac:dyDescent="0.25">
      <c r="A58" s="33">
        <f>IF(COUNTBLANK(B58)=1," ",COUNTA($B$13:B58))</f>
        <v>26</v>
      </c>
      <c r="B58" s="237" t="s">
        <v>52</v>
      </c>
      <c r="C58" s="36" t="s">
        <v>420</v>
      </c>
      <c r="D58" s="33" t="s">
        <v>54</v>
      </c>
      <c r="E58" s="33">
        <v>270</v>
      </c>
      <c r="F58" s="159"/>
      <c r="G58" s="255"/>
      <c r="H58" s="255"/>
      <c r="I58" s="255"/>
      <c r="J58" s="255"/>
      <c r="K58" s="255"/>
      <c r="L58" s="256"/>
      <c r="M58" s="256"/>
      <c r="N58" s="256"/>
      <c r="O58" s="256"/>
      <c r="P58" s="256"/>
      <c r="Q58" s="256"/>
      <c r="AMG58"/>
      <c r="AMH58"/>
      <c r="AMI58"/>
      <c r="AMJ58"/>
    </row>
    <row r="59" spans="1:1024" s="25" customFormat="1" ht="22.5" x14ac:dyDescent="0.25">
      <c r="A59" s="33">
        <f>IF(COUNTBLANK(B59)=1," ",COUNTA($B$13:B59))</f>
        <v>27</v>
      </c>
      <c r="B59" s="237" t="s">
        <v>52</v>
      </c>
      <c r="C59" s="36" t="s">
        <v>421</v>
      </c>
      <c r="D59" s="33" t="s">
        <v>60</v>
      </c>
      <c r="E59" s="33">
        <v>122</v>
      </c>
      <c r="F59" s="159"/>
      <c r="G59" s="255"/>
      <c r="H59" s="255"/>
      <c r="I59" s="255"/>
      <c r="J59" s="255"/>
      <c r="K59" s="255"/>
      <c r="L59" s="256"/>
      <c r="M59" s="256"/>
      <c r="N59" s="256"/>
      <c r="O59" s="256"/>
      <c r="P59" s="256"/>
      <c r="Q59" s="256"/>
      <c r="AMG59"/>
      <c r="AMH59"/>
      <c r="AMI59"/>
      <c r="AMJ59"/>
    </row>
    <row r="60" spans="1:1024" x14ac:dyDescent="0.25">
      <c r="A60" s="37" t="str">
        <f>IF(COUNTBLANK(I60)=1," ",COUNTA($I$14:I60))</f>
        <v xml:space="preserve"> </v>
      </c>
      <c r="B60" s="104"/>
      <c r="C60" s="183" t="s">
        <v>101</v>
      </c>
      <c r="D60" s="104"/>
      <c r="E60" s="104"/>
      <c r="F60" s="156"/>
      <c r="G60" s="25"/>
      <c r="H60" s="104"/>
      <c r="I60" s="104"/>
      <c r="J60" s="104"/>
      <c r="K60" s="104"/>
      <c r="L60" s="100"/>
      <c r="M60" s="100">
        <f>SUMIF($Q14:$Q34,"&gt;0",M14:M34)</f>
        <v>0</v>
      </c>
      <c r="N60" s="100">
        <f>SUMIF($Q14:$Q34,"&gt;0",N14:N34)</f>
        <v>0</v>
      </c>
      <c r="O60" s="100">
        <f>SUMIF($Q14:$Q34,"&gt;0",O14:O34)</f>
        <v>0</v>
      </c>
      <c r="P60" s="100">
        <f>SUMIF($Q14:$Q34,"&gt;0",P14:P34)</f>
        <v>0</v>
      </c>
      <c r="Q60" s="100">
        <f>SUMIF($Q14:$Q34,"&gt;0",Q14:Q34)</f>
        <v>0</v>
      </c>
    </row>
    <row r="61" spans="1:1024" x14ac:dyDescent="0.25">
      <c r="A61" s="37" t="str">
        <f>IF(COUNTBLANK(I61)=1," ",COUNTA($I$60:I61))</f>
        <v xml:space="preserve"> </v>
      </c>
      <c r="B61" s="37"/>
      <c r="C61" s="21" t="s">
        <v>102</v>
      </c>
      <c r="D61" s="38"/>
      <c r="E61" s="104"/>
      <c r="F61" s="37"/>
      <c r="G61" s="184">
        <v>0</v>
      </c>
      <c r="H61" s="37"/>
      <c r="I61" s="37"/>
      <c r="J61" s="37"/>
      <c r="K61" s="37"/>
      <c r="L61" s="37"/>
      <c r="M61" s="100"/>
      <c r="N61" s="100"/>
      <c r="O61" s="100">
        <f>O60*G61</f>
        <v>0</v>
      </c>
      <c r="P61" s="100"/>
      <c r="Q61" s="100"/>
    </row>
    <row r="62" spans="1:1024" x14ac:dyDescent="0.25">
      <c r="A62" s="37" t="str">
        <f>IF(COUNTBLANK(I62)=1," ",COUNTA($I$60:I62))</f>
        <v xml:space="preserve"> </v>
      </c>
      <c r="B62" s="37"/>
      <c r="C62" s="183" t="s">
        <v>103</v>
      </c>
      <c r="D62" s="37"/>
      <c r="E62" s="37"/>
      <c r="F62" s="37"/>
      <c r="G62" s="37"/>
      <c r="H62" s="104"/>
      <c r="I62" s="37"/>
      <c r="J62" s="37"/>
      <c r="K62" s="37"/>
      <c r="L62" s="37"/>
      <c r="M62" s="100">
        <f>SUM(M60:M61)</f>
        <v>0</v>
      </c>
      <c r="N62" s="100">
        <f>SUM(N60:N61)</f>
        <v>0</v>
      </c>
      <c r="O62" s="100">
        <f>SUM(O60:O61)</f>
        <v>0</v>
      </c>
      <c r="P62" s="100">
        <f>SUM(P60:P61)</f>
        <v>0</v>
      </c>
      <c r="Q62" s="100">
        <f>SUM(N62:P62)</f>
        <v>0</v>
      </c>
    </row>
    <row r="63" spans="1:1024" x14ac:dyDescent="0.25">
      <c r="A63" s="104"/>
      <c r="B63" s="104"/>
      <c r="C63" s="183"/>
      <c r="D63" s="104"/>
      <c r="E63" s="104"/>
      <c r="F63" s="156"/>
      <c r="H63" s="104"/>
      <c r="I63" s="104"/>
      <c r="J63" s="104"/>
      <c r="K63" s="104"/>
      <c r="L63" s="104"/>
      <c r="M63" s="104"/>
      <c r="N63" s="104"/>
      <c r="O63" s="104"/>
      <c r="P63" s="104"/>
      <c r="Q63" s="104"/>
    </row>
    <row r="64" spans="1:1024" x14ac:dyDescent="0.25">
      <c r="A64" s="104"/>
      <c r="B64" s="104"/>
      <c r="C64" s="53" t="s">
        <v>27</v>
      </c>
      <c r="D64" s="23"/>
      <c r="E64" s="27"/>
      <c r="F64" s="156"/>
      <c r="H64" s="104"/>
      <c r="I64" s="104"/>
      <c r="J64" s="104"/>
      <c r="K64" s="104"/>
      <c r="L64" s="104"/>
      <c r="M64" s="104"/>
      <c r="N64" s="104"/>
      <c r="O64" s="104"/>
      <c r="P64" s="104"/>
      <c r="Q64" s="104"/>
    </row>
    <row r="65" spans="1:17" x14ac:dyDescent="0.25">
      <c r="A65" s="104"/>
      <c r="B65" s="104"/>
      <c r="C65" s="54" t="s">
        <v>28</v>
      </c>
      <c r="D65" s="23"/>
      <c r="E65" s="27"/>
      <c r="F65" s="156"/>
      <c r="H65" s="104"/>
      <c r="I65" s="104"/>
      <c r="J65" s="104"/>
      <c r="K65" s="104"/>
      <c r="L65" s="104"/>
      <c r="M65" s="104"/>
      <c r="N65" s="104"/>
      <c r="O65" s="104"/>
      <c r="P65" s="104"/>
      <c r="Q65" s="104"/>
    </row>
    <row r="66" spans="1:17" x14ac:dyDescent="0.25">
      <c r="C66" s="43"/>
      <c r="D66" s="23"/>
      <c r="E66" s="27"/>
    </row>
    <row r="67" spans="1:17" x14ac:dyDescent="0.25">
      <c r="C67" s="55" t="s">
        <v>29</v>
      </c>
      <c r="D67" s="23"/>
      <c r="E67" s="27"/>
    </row>
    <row r="68" spans="1:17" x14ac:dyDescent="0.25">
      <c r="C68" s="48" t="s">
        <v>30</v>
      </c>
      <c r="D68" s="23"/>
      <c r="E68" s="27"/>
    </row>
  </sheetData>
  <mergeCells count="9">
    <mergeCell ref="C2:G2"/>
    <mergeCell ref="A9:P9"/>
    <mergeCell ref="A11:A12"/>
    <mergeCell ref="B11:B12"/>
    <mergeCell ref="C11:C12"/>
    <mergeCell ref="D11:D12"/>
    <mergeCell ref="E11:E12"/>
    <mergeCell ref="G11:L11"/>
    <mergeCell ref="M11:Q11"/>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AMK250"/>
  <sheetViews>
    <sheetView topLeftCell="A214" zoomScaleNormal="100" workbookViewId="0">
      <selection activeCell="C240" sqref="C240"/>
    </sheetView>
  </sheetViews>
  <sheetFormatPr defaultRowHeight="15" x14ac:dyDescent="0.25"/>
  <cols>
    <col min="1" max="2" width="4.85546875" style="16"/>
    <col min="3" max="3" width="45.5703125" style="249"/>
    <col min="4" max="4" width="3.5703125" style="16"/>
    <col min="5" max="5" width="0" style="16" hidden="1"/>
    <col min="6" max="6" width="5.140625" style="16"/>
    <col min="7" max="8" width="8.7109375" style="16"/>
    <col min="9" max="9" width="8.7109375" style="257"/>
    <col min="10" max="17" width="8.7109375" style="16"/>
    <col min="18" max="1015" width="8" style="16"/>
    <col min="1016" max="1025" width="8.7109375" style="58"/>
  </cols>
  <sheetData>
    <row r="1" spans="1:1024" s="19" customFormat="1" ht="11.25" x14ac:dyDescent="0.25">
      <c r="B1" s="18"/>
      <c r="C1" s="18"/>
      <c r="D1" s="18" t="s">
        <v>31</v>
      </c>
      <c r="F1" s="19">
        <f>KPDV!A21</f>
        <v>9</v>
      </c>
      <c r="I1" s="258"/>
      <c r="J1" s="105"/>
      <c r="K1" s="105"/>
    </row>
    <row r="2" spans="1:1024" s="21" customFormat="1" ht="11.25" x14ac:dyDescent="0.25">
      <c r="A2" s="20"/>
      <c r="B2" s="20"/>
      <c r="C2" s="20" t="s">
        <v>422</v>
      </c>
      <c r="D2" s="20"/>
      <c r="E2" s="20"/>
      <c r="I2" s="259"/>
      <c r="J2" s="260"/>
      <c r="K2" s="260"/>
    </row>
    <row r="3" spans="1:1024" s="23" customFormat="1" ht="11.25" x14ac:dyDescent="0.25">
      <c r="A3" s="23" t="str">
        <f>KPDV!A3</f>
        <v>Būves nosaukums: Daudzdzīvokļu dzīvojamās mājas fasādes vienkāršotā atjaunošana</v>
      </c>
      <c r="I3" s="261"/>
      <c r="J3" s="262"/>
      <c r="K3" s="262"/>
    </row>
    <row r="4" spans="1:1024" s="23" customFormat="1" ht="11.25" x14ac:dyDescent="0.25">
      <c r="A4" s="23" t="str">
        <f>KPDV!A4</f>
        <v>Objekta nosaukums: Daudzdzīvokļu dzīvojamās mājas Ed. Tisē ielā 48, Liepājā, 
fasādes vienkāršotā atjaunošana</v>
      </c>
      <c r="I4" s="261"/>
      <c r="J4" s="262"/>
      <c r="K4" s="262"/>
    </row>
    <row r="5" spans="1:1024" s="27" customFormat="1" ht="11.25" x14ac:dyDescent="0.25">
      <c r="A5" s="27" t="str">
        <f>KPDV!A5</f>
        <v>Objekta adrese: Tisē iela 48 Liepājā</v>
      </c>
      <c r="B5" s="52"/>
      <c r="C5" s="52"/>
      <c r="D5" s="52"/>
      <c r="E5" s="52"/>
      <c r="I5" s="263"/>
      <c r="J5" s="264"/>
      <c r="K5" s="264"/>
      <c r="O5" s="264"/>
      <c r="P5" s="264"/>
    </row>
    <row r="6" spans="1:1024" s="26" customFormat="1" ht="11.25" x14ac:dyDescent="0.25">
      <c r="A6" s="27" t="str">
        <f>KPDV!A6</f>
        <v>Pasūtījuma Nr.WS-64-15</v>
      </c>
      <c r="B6" s="52"/>
      <c r="C6" s="52"/>
      <c r="D6" s="52"/>
      <c r="E6" s="52"/>
      <c r="F6" s="27"/>
      <c r="G6" s="27"/>
      <c r="H6" s="27"/>
      <c r="I6" s="263"/>
      <c r="J6" s="264"/>
      <c r="K6" s="264"/>
      <c r="L6" s="27"/>
      <c r="M6" s="27"/>
      <c r="N6" s="27"/>
      <c r="O6" s="264"/>
      <c r="P6" s="264"/>
    </row>
    <row r="7" spans="1:1024" s="25" customFormat="1" x14ac:dyDescent="0.25">
      <c r="A7" s="27" t="str">
        <f>KPDV!A7</f>
        <v>Pasūtītājs: SIA "Liepājas namu apsaimniekotājs"</v>
      </c>
      <c r="B7" s="52"/>
      <c r="C7" s="52"/>
      <c r="D7" s="52"/>
      <c r="E7" s="52"/>
      <c r="F7" s="27"/>
      <c r="G7" s="27"/>
      <c r="H7" s="27"/>
      <c r="I7" s="263"/>
      <c r="J7" s="264"/>
      <c r="K7" s="264"/>
      <c r="L7" s="27"/>
      <c r="M7" s="27"/>
      <c r="N7" s="27"/>
      <c r="O7" s="264"/>
      <c r="P7" s="265"/>
      <c r="AMA7"/>
      <c r="AMB7"/>
      <c r="AMC7"/>
      <c r="AMD7"/>
      <c r="AME7"/>
      <c r="AMF7"/>
      <c r="AMG7"/>
      <c r="AMH7"/>
      <c r="AMI7"/>
      <c r="AMJ7"/>
    </row>
    <row r="8" spans="1:1024" s="25" customFormat="1" x14ac:dyDescent="0.25">
      <c r="A8" s="27"/>
      <c r="B8" s="52"/>
      <c r="C8" s="61" t="s">
        <v>33</v>
      </c>
      <c r="D8" s="62" t="s">
        <v>423</v>
      </c>
      <c r="F8" s="63" t="s">
        <v>35</v>
      </c>
      <c r="G8" s="27"/>
      <c r="H8" s="27"/>
      <c r="I8" s="263"/>
      <c r="J8" s="264"/>
      <c r="K8" s="264"/>
      <c r="L8" s="27"/>
      <c r="M8" s="27"/>
      <c r="N8" s="27"/>
      <c r="O8" s="264"/>
      <c r="P8" s="265"/>
      <c r="AMA8"/>
      <c r="AMB8"/>
      <c r="AMC8"/>
      <c r="AMD8"/>
      <c r="AME8"/>
      <c r="AMF8"/>
      <c r="AMG8"/>
      <c r="AMH8"/>
      <c r="AMI8"/>
      <c r="AMJ8"/>
    </row>
    <row r="9" spans="1:1024" s="25" customFormat="1" x14ac:dyDescent="0.25">
      <c r="A9" s="195"/>
      <c r="B9" s="195"/>
      <c r="C9" s="195"/>
      <c r="D9" s="195"/>
      <c r="E9" s="195"/>
      <c r="F9" s="27"/>
      <c r="G9" s="27"/>
      <c r="H9" s="27"/>
      <c r="I9" s="263"/>
      <c r="J9" s="264"/>
      <c r="K9" s="264"/>
      <c r="L9" s="27"/>
      <c r="M9" s="27"/>
      <c r="N9" s="27"/>
      <c r="O9" s="43" t="str">
        <f>AR!A9</f>
        <v>Tāmes izmaksas euro:</v>
      </c>
      <c r="P9" s="64">
        <f>Q244</f>
        <v>0</v>
      </c>
      <c r="AMA9"/>
      <c r="AMB9"/>
      <c r="AMC9"/>
      <c r="AMD9"/>
      <c r="AME9"/>
      <c r="AMF9"/>
      <c r="AMG9"/>
      <c r="AMH9"/>
      <c r="AMI9"/>
      <c r="AMJ9"/>
    </row>
    <row r="10" spans="1:1024" s="25" customFormat="1" x14ac:dyDescent="0.25">
      <c r="B10" s="266"/>
      <c r="C10" s="266"/>
      <c r="D10" s="266"/>
      <c r="E10" s="266"/>
      <c r="F10" s="27"/>
      <c r="G10" s="27"/>
      <c r="H10" s="27"/>
      <c r="I10" s="263"/>
      <c r="J10" s="264"/>
      <c r="K10" s="264"/>
      <c r="L10" s="27"/>
      <c r="M10" s="27"/>
      <c r="N10" s="27"/>
      <c r="O10" s="264"/>
      <c r="P10" s="43" t="str">
        <f>KPDV!B10</f>
        <v>Tāme sastādīta  201_.gada ___.______________</v>
      </c>
      <c r="AMA10"/>
      <c r="AMB10"/>
      <c r="AMC10"/>
      <c r="AMD10"/>
      <c r="AME10"/>
      <c r="AMF10"/>
      <c r="AMG10"/>
      <c r="AMH10"/>
      <c r="AMI10"/>
      <c r="AMJ10"/>
    </row>
    <row r="11" spans="1:1024" s="23" customFormat="1" ht="10.15" customHeight="1" x14ac:dyDescent="0.25">
      <c r="A11" s="301" t="s">
        <v>37</v>
      </c>
      <c r="B11" s="301" t="s">
        <v>38</v>
      </c>
      <c r="C11" s="302" t="s">
        <v>39</v>
      </c>
      <c r="D11" s="303" t="s">
        <v>40</v>
      </c>
      <c r="E11" s="301" t="s">
        <v>41</v>
      </c>
      <c r="F11" s="301"/>
      <c r="G11" s="304" t="s">
        <v>42</v>
      </c>
      <c r="H11" s="304"/>
      <c r="I11" s="304"/>
      <c r="J11" s="304"/>
      <c r="K11" s="304"/>
      <c r="L11" s="304"/>
      <c r="M11" s="304" t="s">
        <v>43</v>
      </c>
      <c r="N11" s="304"/>
      <c r="O11" s="304"/>
      <c r="P11" s="304"/>
      <c r="Q11" s="304"/>
    </row>
    <row r="12" spans="1:1024" s="25" customFormat="1" ht="54" x14ac:dyDescent="0.25">
      <c r="A12" s="301"/>
      <c r="B12" s="301"/>
      <c r="C12" s="302"/>
      <c r="D12" s="303"/>
      <c r="E12" s="301"/>
      <c r="F12" s="301"/>
      <c r="G12" s="214" t="s">
        <v>44</v>
      </c>
      <c r="H12" s="214" t="s">
        <v>45</v>
      </c>
      <c r="I12" s="215" t="s">
        <v>46</v>
      </c>
      <c r="J12" s="215" t="s">
        <v>47</v>
      </c>
      <c r="K12" s="215" t="s">
        <v>48</v>
      </c>
      <c r="L12" s="215" t="s">
        <v>49</v>
      </c>
      <c r="M12" s="214" t="s">
        <v>50</v>
      </c>
      <c r="N12" s="215" t="s">
        <v>46</v>
      </c>
      <c r="O12" s="215" t="s">
        <v>47</v>
      </c>
      <c r="P12" s="215" t="s">
        <v>48</v>
      </c>
      <c r="Q12" s="215" t="s">
        <v>51</v>
      </c>
      <c r="AMA12"/>
      <c r="AMB12"/>
      <c r="AMC12"/>
      <c r="AMD12"/>
      <c r="AME12"/>
      <c r="AMF12"/>
      <c r="AMG12"/>
      <c r="AMH12"/>
      <c r="AMI12"/>
      <c r="AMJ12"/>
    </row>
    <row r="13" spans="1:1024" s="25" customFormat="1" x14ac:dyDescent="0.25">
      <c r="A13" s="85">
        <v>1</v>
      </c>
      <c r="B13" s="85">
        <f>A13+1</f>
        <v>2</v>
      </c>
      <c r="C13" s="82">
        <f>B13+1</f>
        <v>3</v>
      </c>
      <c r="D13" s="85">
        <f>C13+1</f>
        <v>4</v>
      </c>
      <c r="E13" s="304">
        <f>D13+1</f>
        <v>5</v>
      </c>
      <c r="F13" s="304"/>
      <c r="G13" s="85">
        <f>E13+1</f>
        <v>6</v>
      </c>
      <c r="H13" s="85">
        <f t="shared" ref="H13:Q13" si="0">G13+1</f>
        <v>7</v>
      </c>
      <c r="I13" s="85">
        <f t="shared" si="0"/>
        <v>8</v>
      </c>
      <c r="J13" s="85">
        <f t="shared" si="0"/>
        <v>9</v>
      </c>
      <c r="K13" s="85">
        <f t="shared" si="0"/>
        <v>10</v>
      </c>
      <c r="L13" s="85">
        <f t="shared" si="0"/>
        <v>11</v>
      </c>
      <c r="M13" s="85">
        <f t="shared" si="0"/>
        <v>12</v>
      </c>
      <c r="N13" s="85">
        <f t="shared" si="0"/>
        <v>13</v>
      </c>
      <c r="O13" s="85">
        <f t="shared" si="0"/>
        <v>14</v>
      </c>
      <c r="P13" s="85">
        <f t="shared" si="0"/>
        <v>15</v>
      </c>
      <c r="Q13" s="85">
        <f t="shared" si="0"/>
        <v>16</v>
      </c>
      <c r="AMA13"/>
      <c r="AMB13"/>
      <c r="AMC13"/>
      <c r="AMD13"/>
      <c r="AME13"/>
      <c r="AMF13"/>
      <c r="AMG13"/>
      <c r="AMH13"/>
      <c r="AMI13"/>
      <c r="AMJ13"/>
    </row>
    <row r="14" spans="1:1024" s="27" customFormat="1" ht="11.25" x14ac:dyDescent="0.25">
      <c r="A14" s="85"/>
      <c r="B14" s="85"/>
      <c r="C14" s="33" t="s">
        <v>424</v>
      </c>
      <c r="D14" s="85"/>
      <c r="F14" s="85"/>
    </row>
    <row r="15" spans="1:1024" s="25" customFormat="1" x14ac:dyDescent="0.25">
      <c r="A15" s="85">
        <v>1</v>
      </c>
      <c r="B15" s="85"/>
      <c r="C15" s="234" t="s">
        <v>425</v>
      </c>
      <c r="D15" s="85" t="s">
        <v>426</v>
      </c>
      <c r="E15" s="27"/>
      <c r="F15" s="85">
        <v>3</v>
      </c>
      <c r="G15" s="80"/>
      <c r="H15" s="80"/>
      <c r="I15" s="80"/>
      <c r="J15" s="267"/>
      <c r="K15" s="86"/>
      <c r="L15" s="86"/>
      <c r="M15" s="80"/>
      <c r="N15" s="80"/>
      <c r="O15" s="80"/>
      <c r="P15" s="80"/>
      <c r="Q15" s="163"/>
      <c r="AMA15"/>
      <c r="AMB15"/>
      <c r="AMC15"/>
      <c r="AMD15"/>
      <c r="AME15"/>
      <c r="AMF15"/>
      <c r="AMG15"/>
      <c r="AMH15"/>
      <c r="AMI15"/>
      <c r="AMJ15"/>
    </row>
    <row r="16" spans="1:1024" s="25" customFormat="1" x14ac:dyDescent="0.25">
      <c r="A16" s="85">
        <v>2</v>
      </c>
      <c r="B16" s="85"/>
      <c r="C16" s="234" t="s">
        <v>427</v>
      </c>
      <c r="D16" s="85" t="s">
        <v>54</v>
      </c>
      <c r="E16" s="27"/>
      <c r="F16" s="85">
        <v>12</v>
      </c>
      <c r="G16" s="80"/>
      <c r="H16" s="80"/>
      <c r="I16" s="80"/>
      <c r="J16" s="267"/>
      <c r="K16" s="86"/>
      <c r="L16" s="86"/>
      <c r="M16" s="80"/>
      <c r="N16" s="80"/>
      <c r="O16" s="80"/>
      <c r="P16" s="80"/>
      <c r="Q16" s="163"/>
      <c r="AMA16"/>
      <c r="AMB16"/>
      <c r="AMC16"/>
      <c r="AMD16"/>
      <c r="AME16"/>
      <c r="AMF16"/>
      <c r="AMG16"/>
      <c r="AMH16"/>
      <c r="AMI16"/>
      <c r="AMJ16"/>
    </row>
    <row r="17" spans="1:1024" s="23" customFormat="1" ht="11.25" x14ac:dyDescent="0.25">
      <c r="A17" s="85">
        <v>3</v>
      </c>
      <c r="B17" s="85"/>
      <c r="C17" s="234" t="s">
        <v>428</v>
      </c>
      <c r="D17" s="85" t="s">
        <v>54</v>
      </c>
      <c r="E17" s="27"/>
      <c r="F17" s="85">
        <v>32</v>
      </c>
      <c r="G17" s="80"/>
      <c r="H17" s="80"/>
      <c r="I17" s="80"/>
      <c r="J17" s="267"/>
      <c r="K17" s="86"/>
      <c r="L17" s="86"/>
      <c r="M17" s="80"/>
      <c r="N17" s="80"/>
      <c r="O17" s="80"/>
      <c r="P17" s="80"/>
      <c r="Q17" s="163"/>
    </row>
    <row r="18" spans="1:1024" s="23" customFormat="1" ht="11.25" x14ac:dyDescent="0.25">
      <c r="A18" s="85">
        <v>4</v>
      </c>
      <c r="B18" s="85"/>
      <c r="C18" s="234" t="s">
        <v>429</v>
      </c>
      <c r="D18" s="85" t="s">
        <v>54</v>
      </c>
      <c r="E18" s="27"/>
      <c r="F18" s="85">
        <v>102</v>
      </c>
      <c r="G18" s="80"/>
      <c r="H18" s="80"/>
      <c r="I18" s="80"/>
      <c r="J18" s="267"/>
      <c r="K18" s="86"/>
      <c r="L18" s="86"/>
      <c r="M18" s="80"/>
      <c r="N18" s="80"/>
      <c r="O18" s="80"/>
      <c r="P18" s="80"/>
      <c r="Q18" s="163"/>
    </row>
    <row r="19" spans="1:1024" s="25" customFormat="1" x14ac:dyDescent="0.25">
      <c r="A19" s="85">
        <v>5</v>
      </c>
      <c r="B19" s="85"/>
      <c r="C19" s="84" t="s">
        <v>430</v>
      </c>
      <c r="D19" s="85" t="s">
        <v>54</v>
      </c>
      <c r="E19" s="27"/>
      <c r="F19" s="85">
        <v>162</v>
      </c>
      <c r="G19" s="80"/>
      <c r="H19" s="80"/>
      <c r="I19" s="80"/>
      <c r="J19" s="267"/>
      <c r="K19" s="86"/>
      <c r="L19" s="86"/>
      <c r="M19" s="80"/>
      <c r="N19" s="80"/>
      <c r="O19" s="80"/>
      <c r="P19" s="80"/>
      <c r="Q19" s="163"/>
      <c r="AMA19"/>
      <c r="AMB19"/>
      <c r="AMC19"/>
      <c r="AMD19"/>
      <c r="AME19"/>
      <c r="AMF19"/>
      <c r="AMG19"/>
      <c r="AMH19"/>
      <c r="AMI19"/>
      <c r="AMJ19"/>
    </row>
    <row r="20" spans="1:1024" s="25" customFormat="1" x14ac:dyDescent="0.25">
      <c r="A20" s="85">
        <v>6</v>
      </c>
      <c r="B20" s="85"/>
      <c r="C20" s="84" t="s">
        <v>431</v>
      </c>
      <c r="D20" s="85" t="s">
        <v>54</v>
      </c>
      <c r="E20" s="27"/>
      <c r="F20" s="85">
        <v>162</v>
      </c>
      <c r="G20" s="80"/>
      <c r="H20" s="80"/>
      <c r="I20" s="80"/>
      <c r="J20" s="267"/>
      <c r="K20" s="86"/>
      <c r="L20" s="86"/>
      <c r="M20" s="80"/>
      <c r="N20" s="80"/>
      <c r="O20" s="80"/>
      <c r="P20" s="80"/>
      <c r="Q20" s="163"/>
      <c r="AMA20"/>
      <c r="AMB20"/>
      <c r="AMC20"/>
      <c r="AMD20"/>
      <c r="AME20"/>
      <c r="AMF20"/>
      <c r="AMG20"/>
      <c r="AMH20"/>
      <c r="AMI20"/>
      <c r="AMJ20"/>
    </row>
    <row r="21" spans="1:1024" s="25" customFormat="1" x14ac:dyDescent="0.25">
      <c r="A21" s="85">
        <v>7</v>
      </c>
      <c r="B21" s="85"/>
      <c r="C21" s="234" t="s">
        <v>432</v>
      </c>
      <c r="D21" s="85" t="s">
        <v>54</v>
      </c>
      <c r="E21" s="27"/>
      <c r="F21" s="85">
        <v>72</v>
      </c>
      <c r="G21" s="80"/>
      <c r="H21" s="80"/>
      <c r="I21" s="80"/>
      <c r="J21" s="267"/>
      <c r="K21" s="86"/>
      <c r="L21" s="86"/>
      <c r="M21" s="80"/>
      <c r="N21" s="80"/>
      <c r="O21" s="80"/>
      <c r="P21" s="80"/>
      <c r="Q21" s="163"/>
      <c r="AMA21"/>
      <c r="AMB21"/>
      <c r="AMC21"/>
      <c r="AMD21"/>
      <c r="AME21"/>
      <c r="AMF21"/>
      <c r="AMG21"/>
      <c r="AMH21"/>
      <c r="AMI21"/>
      <c r="AMJ21"/>
    </row>
    <row r="22" spans="1:1024" s="25" customFormat="1" x14ac:dyDescent="0.25">
      <c r="A22" s="85">
        <v>8</v>
      </c>
      <c r="B22" s="85"/>
      <c r="C22" s="234" t="s">
        <v>433</v>
      </c>
      <c r="D22" s="85" t="s">
        <v>54</v>
      </c>
      <c r="E22" s="27"/>
      <c r="F22" s="85">
        <v>830</v>
      </c>
      <c r="G22" s="80"/>
      <c r="H22" s="80"/>
      <c r="I22" s="80"/>
      <c r="J22" s="267"/>
      <c r="K22" s="86"/>
      <c r="L22" s="86"/>
      <c r="M22" s="80"/>
      <c r="N22" s="80"/>
      <c r="O22" s="80"/>
      <c r="P22" s="80"/>
      <c r="Q22" s="163"/>
      <c r="AMA22"/>
      <c r="AMB22"/>
      <c r="AMC22"/>
      <c r="AMD22"/>
      <c r="AME22"/>
      <c r="AMF22"/>
      <c r="AMG22"/>
      <c r="AMH22"/>
      <c r="AMI22"/>
      <c r="AMJ22"/>
    </row>
    <row r="23" spans="1:1024" s="25" customFormat="1" x14ac:dyDescent="0.25">
      <c r="A23" s="85">
        <v>9</v>
      </c>
      <c r="B23" s="85"/>
      <c r="C23" s="234" t="s">
        <v>434</v>
      </c>
      <c r="D23" s="85" t="s">
        <v>54</v>
      </c>
      <c r="E23" s="27"/>
      <c r="F23" s="85">
        <v>15</v>
      </c>
      <c r="G23" s="80"/>
      <c r="H23" s="80"/>
      <c r="I23" s="80"/>
      <c r="J23" s="267"/>
      <c r="K23" s="86"/>
      <c r="L23" s="86"/>
      <c r="M23" s="80"/>
      <c r="N23" s="80"/>
      <c r="O23" s="80"/>
      <c r="P23" s="80"/>
      <c r="Q23" s="163"/>
      <c r="AMA23"/>
      <c r="AMB23"/>
      <c r="AMC23"/>
      <c r="AMD23"/>
      <c r="AME23"/>
      <c r="AMF23"/>
      <c r="AMG23"/>
      <c r="AMH23"/>
      <c r="AMI23"/>
      <c r="AMJ23"/>
    </row>
    <row r="24" spans="1:1024" s="25" customFormat="1" x14ac:dyDescent="0.25">
      <c r="A24" s="33">
        <v>10</v>
      </c>
      <c r="B24" s="33"/>
      <c r="C24" s="234" t="s">
        <v>435</v>
      </c>
      <c r="D24" s="85" t="s">
        <v>77</v>
      </c>
      <c r="E24" s="27"/>
      <c r="F24" s="85">
        <v>2</v>
      </c>
      <c r="G24" s="80"/>
      <c r="H24" s="80"/>
      <c r="I24" s="80"/>
      <c r="J24" s="267"/>
      <c r="K24" s="86"/>
      <c r="L24" s="86"/>
      <c r="M24" s="80"/>
      <c r="N24" s="80"/>
      <c r="O24" s="80"/>
      <c r="P24" s="80"/>
      <c r="Q24" s="163"/>
      <c r="AMA24"/>
      <c r="AMB24"/>
      <c r="AMC24"/>
      <c r="AMD24"/>
      <c r="AME24"/>
      <c r="AMF24"/>
      <c r="AMG24"/>
      <c r="AMH24"/>
      <c r="AMI24"/>
      <c r="AMJ24"/>
    </row>
    <row r="25" spans="1:1024" s="25" customFormat="1" x14ac:dyDescent="0.25">
      <c r="A25" s="85">
        <v>11</v>
      </c>
      <c r="B25" s="85"/>
      <c r="C25" s="234" t="s">
        <v>436</v>
      </c>
      <c r="D25" s="85" t="s">
        <v>77</v>
      </c>
      <c r="E25" s="27"/>
      <c r="F25" s="85">
        <v>6</v>
      </c>
      <c r="G25" s="80"/>
      <c r="H25" s="80"/>
      <c r="I25" s="80"/>
      <c r="J25" s="267"/>
      <c r="K25" s="86"/>
      <c r="L25" s="86"/>
      <c r="M25" s="80"/>
      <c r="N25" s="80"/>
      <c r="O25" s="80"/>
      <c r="P25" s="80"/>
      <c r="Q25" s="163"/>
      <c r="AMA25"/>
      <c r="AMB25"/>
      <c r="AMC25"/>
      <c r="AMD25"/>
      <c r="AME25"/>
      <c r="AMF25"/>
      <c r="AMG25"/>
      <c r="AMH25"/>
      <c r="AMI25"/>
      <c r="AMJ25"/>
    </row>
    <row r="26" spans="1:1024" s="25" customFormat="1" x14ac:dyDescent="0.25">
      <c r="A26" s="33">
        <v>12</v>
      </c>
      <c r="B26" s="33"/>
      <c r="C26" s="234" t="s">
        <v>437</v>
      </c>
      <c r="D26" s="85" t="s">
        <v>77</v>
      </c>
      <c r="E26" s="27"/>
      <c r="F26" s="85">
        <v>12</v>
      </c>
      <c r="G26" s="80"/>
      <c r="H26" s="80"/>
      <c r="I26" s="80"/>
      <c r="J26" s="267"/>
      <c r="K26" s="86"/>
      <c r="L26" s="86"/>
      <c r="M26" s="80"/>
      <c r="N26" s="80"/>
      <c r="O26" s="80"/>
      <c r="P26" s="80"/>
      <c r="Q26" s="163"/>
      <c r="AMA26"/>
      <c r="AMB26"/>
      <c r="AMC26"/>
      <c r="AMD26"/>
      <c r="AME26"/>
      <c r="AMF26"/>
      <c r="AMG26"/>
      <c r="AMH26"/>
      <c r="AMI26"/>
      <c r="AMJ26"/>
    </row>
    <row r="27" spans="1:1024" s="23" customFormat="1" ht="33.75" x14ac:dyDescent="0.25">
      <c r="A27" s="85">
        <v>13</v>
      </c>
      <c r="B27" s="85"/>
      <c r="C27" s="84" t="s">
        <v>438</v>
      </c>
      <c r="D27" s="85" t="s">
        <v>77</v>
      </c>
      <c r="E27" s="27"/>
      <c r="F27" s="85">
        <v>3</v>
      </c>
      <c r="G27" s="80"/>
      <c r="H27" s="80"/>
      <c r="I27" s="80"/>
      <c r="J27" s="267"/>
      <c r="K27" s="86"/>
      <c r="L27" s="86"/>
      <c r="M27" s="80"/>
      <c r="N27" s="80"/>
      <c r="O27" s="80"/>
      <c r="P27" s="80"/>
      <c r="Q27" s="163"/>
    </row>
    <row r="28" spans="1:1024" ht="33.75" x14ac:dyDescent="0.25">
      <c r="A28" s="33">
        <v>14</v>
      </c>
      <c r="B28" s="33"/>
      <c r="C28" s="84" t="s">
        <v>439</v>
      </c>
      <c r="D28" s="85" t="s">
        <v>77</v>
      </c>
      <c r="E28" s="27"/>
      <c r="F28" s="85">
        <v>3</v>
      </c>
      <c r="G28" s="80"/>
      <c r="H28" s="80"/>
      <c r="I28" s="80"/>
      <c r="J28" s="267"/>
      <c r="K28" s="86"/>
      <c r="L28" s="86"/>
      <c r="M28" s="80"/>
      <c r="N28" s="80"/>
      <c r="O28" s="80"/>
      <c r="P28" s="80"/>
      <c r="Q28" s="163"/>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s="25" customFormat="1" x14ac:dyDescent="0.25">
      <c r="A29" s="85">
        <v>15</v>
      </c>
      <c r="B29" s="85"/>
      <c r="C29" s="84" t="s">
        <v>440</v>
      </c>
      <c r="D29" s="85" t="s">
        <v>77</v>
      </c>
      <c r="E29" s="27"/>
      <c r="F29" s="85">
        <v>2</v>
      </c>
      <c r="G29" s="80"/>
      <c r="H29" s="80"/>
      <c r="I29" s="80"/>
      <c r="J29" s="267"/>
      <c r="K29" s="86"/>
      <c r="L29" s="86"/>
      <c r="M29" s="80"/>
      <c r="N29" s="80"/>
      <c r="O29" s="80"/>
      <c r="P29" s="80"/>
      <c r="Q29" s="163"/>
      <c r="AMA29"/>
      <c r="AMB29"/>
      <c r="AMC29"/>
      <c r="AMD29"/>
      <c r="AME29"/>
      <c r="AMF29"/>
      <c r="AMG29"/>
      <c r="AMH29"/>
      <c r="AMI29"/>
      <c r="AMJ29"/>
    </row>
    <row r="30" spans="1:1024" s="25" customFormat="1" x14ac:dyDescent="0.25">
      <c r="A30" s="33">
        <v>16</v>
      </c>
      <c r="B30" s="33"/>
      <c r="C30" s="84" t="s">
        <v>441</v>
      </c>
      <c r="D30" s="85" t="s">
        <v>77</v>
      </c>
      <c r="E30" s="27"/>
      <c r="F30" s="85">
        <v>4</v>
      </c>
      <c r="G30" s="80"/>
      <c r="H30" s="80"/>
      <c r="I30" s="80"/>
      <c r="J30" s="267"/>
      <c r="K30" s="86"/>
      <c r="L30" s="86"/>
      <c r="M30" s="80"/>
      <c r="N30" s="80"/>
      <c r="O30" s="80"/>
      <c r="P30" s="80"/>
      <c r="Q30" s="163"/>
      <c r="AMA30"/>
      <c r="AMB30"/>
      <c r="AMC30"/>
      <c r="AMD30"/>
      <c r="AME30"/>
      <c r="AMF30"/>
      <c r="AMG30"/>
      <c r="AMH30"/>
      <c r="AMI30"/>
      <c r="AMJ30"/>
    </row>
    <row r="31" spans="1:1024" s="25" customFormat="1" x14ac:dyDescent="0.25">
      <c r="A31" s="85">
        <v>17</v>
      </c>
      <c r="B31" s="85"/>
      <c r="C31" s="84" t="s">
        <v>442</v>
      </c>
      <c r="D31" s="85" t="s">
        <v>77</v>
      </c>
      <c r="E31" s="27"/>
      <c r="F31" s="85">
        <v>6</v>
      </c>
      <c r="G31" s="80"/>
      <c r="H31" s="80"/>
      <c r="I31" s="80"/>
      <c r="J31" s="267"/>
      <c r="K31" s="86"/>
      <c r="L31" s="86"/>
      <c r="M31" s="80"/>
      <c r="N31" s="80"/>
      <c r="O31" s="80"/>
      <c r="P31" s="80"/>
      <c r="Q31" s="163"/>
      <c r="AMA31"/>
      <c r="AMB31"/>
      <c r="AMC31"/>
      <c r="AMD31"/>
      <c r="AME31"/>
      <c r="AMF31"/>
      <c r="AMG31"/>
      <c r="AMH31"/>
      <c r="AMI31"/>
      <c r="AMJ31"/>
    </row>
    <row r="32" spans="1:1024" s="25" customFormat="1" x14ac:dyDescent="0.25">
      <c r="A32" s="33">
        <v>18</v>
      </c>
      <c r="B32" s="33"/>
      <c r="C32" s="84" t="s">
        <v>443</v>
      </c>
      <c r="D32" s="85" t="s">
        <v>77</v>
      </c>
      <c r="E32" s="27"/>
      <c r="F32" s="85">
        <v>6</v>
      </c>
      <c r="G32" s="80"/>
      <c r="H32" s="80"/>
      <c r="I32" s="80"/>
      <c r="J32" s="267"/>
      <c r="K32" s="86"/>
      <c r="L32" s="86"/>
      <c r="M32" s="80"/>
      <c r="N32" s="80"/>
      <c r="O32" s="80"/>
      <c r="P32" s="80"/>
      <c r="Q32" s="163"/>
      <c r="AMA32"/>
      <c r="AMB32"/>
      <c r="AMC32"/>
      <c r="AMD32"/>
      <c r="AME32"/>
      <c r="AMF32"/>
      <c r="AMG32"/>
      <c r="AMH32"/>
      <c r="AMI32"/>
      <c r="AMJ32"/>
    </row>
    <row r="33" spans="1:1024" s="25" customFormat="1" x14ac:dyDescent="0.25">
      <c r="A33" s="85">
        <v>19</v>
      </c>
      <c r="B33" s="85"/>
      <c r="C33" s="84" t="s">
        <v>444</v>
      </c>
      <c r="D33" s="85" t="s">
        <v>77</v>
      </c>
      <c r="E33" s="27"/>
      <c r="F33" s="85">
        <v>6</v>
      </c>
      <c r="G33" s="80"/>
      <c r="H33" s="80"/>
      <c r="I33" s="80"/>
      <c r="J33" s="267"/>
      <c r="K33" s="86"/>
      <c r="L33" s="86"/>
      <c r="M33" s="80"/>
      <c r="N33" s="80"/>
      <c r="O33" s="80"/>
      <c r="P33" s="80"/>
      <c r="Q33" s="163"/>
      <c r="AMA33"/>
      <c r="AMB33"/>
      <c r="AMC33"/>
      <c r="AMD33"/>
      <c r="AME33"/>
      <c r="AMF33"/>
      <c r="AMG33"/>
      <c r="AMH33"/>
      <c r="AMI33"/>
      <c r="AMJ33"/>
    </row>
    <row r="34" spans="1:1024" s="25" customFormat="1" x14ac:dyDescent="0.25">
      <c r="A34" s="33">
        <v>20</v>
      </c>
      <c r="B34" s="33"/>
      <c r="C34" s="84" t="s">
        <v>445</v>
      </c>
      <c r="D34" s="85" t="s">
        <v>77</v>
      </c>
      <c r="E34" s="27"/>
      <c r="F34" s="85">
        <v>6</v>
      </c>
      <c r="G34" s="80"/>
      <c r="H34" s="80"/>
      <c r="I34" s="80"/>
      <c r="J34" s="267"/>
      <c r="K34" s="86"/>
      <c r="L34" s="86"/>
      <c r="M34" s="80"/>
      <c r="N34" s="80"/>
      <c r="O34" s="80"/>
      <c r="P34" s="80"/>
      <c r="Q34" s="163"/>
      <c r="AMA34"/>
      <c r="AMB34"/>
      <c r="AMC34"/>
      <c r="AMD34"/>
      <c r="AME34"/>
      <c r="AMF34"/>
      <c r="AMG34"/>
      <c r="AMH34"/>
      <c r="AMI34"/>
      <c r="AMJ34"/>
    </row>
    <row r="35" spans="1:1024" s="25" customFormat="1" x14ac:dyDescent="0.25">
      <c r="A35" s="85">
        <v>21</v>
      </c>
      <c r="B35" s="85"/>
      <c r="C35" s="84" t="s">
        <v>446</v>
      </c>
      <c r="D35" s="85" t="s">
        <v>77</v>
      </c>
      <c r="E35" s="27"/>
      <c r="F35" s="85">
        <v>12</v>
      </c>
      <c r="G35" s="80"/>
      <c r="H35" s="80"/>
      <c r="I35" s="80"/>
      <c r="J35" s="267"/>
      <c r="K35" s="86"/>
      <c r="L35" s="86"/>
      <c r="M35" s="80"/>
      <c r="N35" s="80"/>
      <c r="O35" s="80"/>
      <c r="P35" s="80"/>
      <c r="Q35" s="163"/>
      <c r="AMA35"/>
      <c r="AMB35"/>
      <c r="AMC35"/>
      <c r="AMD35"/>
      <c r="AME35"/>
      <c r="AMF35"/>
      <c r="AMG35"/>
      <c r="AMH35"/>
      <c r="AMI35"/>
      <c r="AMJ35"/>
    </row>
    <row r="36" spans="1:1024" s="25" customFormat="1" x14ac:dyDescent="0.25">
      <c r="A36" s="33">
        <v>22</v>
      </c>
      <c r="B36" s="33"/>
      <c r="C36" s="84" t="s">
        <v>447</v>
      </c>
      <c r="D36" s="85" t="s">
        <v>77</v>
      </c>
      <c r="E36" s="27"/>
      <c r="F36" s="85">
        <v>12</v>
      </c>
      <c r="G36" s="80"/>
      <c r="H36" s="80"/>
      <c r="I36" s="80"/>
      <c r="J36" s="267"/>
      <c r="K36" s="86"/>
      <c r="L36" s="86"/>
      <c r="M36" s="80"/>
      <c r="N36" s="80"/>
      <c r="O36" s="80"/>
      <c r="P36" s="80"/>
      <c r="Q36" s="163"/>
      <c r="AMA36"/>
      <c r="AMB36"/>
      <c r="AMC36"/>
      <c r="AMD36"/>
      <c r="AME36"/>
      <c r="AMF36"/>
      <c r="AMG36"/>
      <c r="AMH36"/>
      <c r="AMI36"/>
      <c r="AMJ36"/>
    </row>
    <row r="37" spans="1:1024" s="25" customFormat="1" x14ac:dyDescent="0.25">
      <c r="A37" s="85">
        <v>23</v>
      </c>
      <c r="B37" s="85"/>
      <c r="C37" s="84" t="s">
        <v>448</v>
      </c>
      <c r="D37" s="85" t="s">
        <v>77</v>
      </c>
      <c r="E37" s="27"/>
      <c r="F37" s="85">
        <v>54</v>
      </c>
      <c r="G37" s="80"/>
      <c r="H37" s="80"/>
      <c r="I37" s="80"/>
      <c r="J37" s="267"/>
      <c r="K37" s="86"/>
      <c r="L37" s="86"/>
      <c r="M37" s="80"/>
      <c r="N37" s="80"/>
      <c r="O37" s="80"/>
      <c r="P37" s="80"/>
      <c r="Q37" s="163"/>
      <c r="AMA37"/>
      <c r="AMB37"/>
      <c r="AMC37"/>
      <c r="AMD37"/>
      <c r="AME37"/>
      <c r="AMF37"/>
      <c r="AMG37"/>
      <c r="AMH37"/>
      <c r="AMI37"/>
      <c r="AMJ37"/>
    </row>
    <row r="38" spans="1:1024" s="25" customFormat="1" x14ac:dyDescent="0.25">
      <c r="A38" s="33">
        <v>24</v>
      </c>
      <c r="B38" s="33"/>
      <c r="C38" s="84" t="s">
        <v>449</v>
      </c>
      <c r="D38" s="85" t="s">
        <v>77</v>
      </c>
      <c r="E38" s="27"/>
      <c r="F38" s="85">
        <v>6</v>
      </c>
      <c r="G38" s="80"/>
      <c r="H38" s="80"/>
      <c r="I38" s="80"/>
      <c r="J38" s="267"/>
      <c r="K38" s="86"/>
      <c r="L38" s="86"/>
      <c r="M38" s="80"/>
      <c r="N38" s="80"/>
      <c r="O38" s="80"/>
      <c r="P38" s="80"/>
      <c r="Q38" s="163"/>
      <c r="AMA38"/>
      <c r="AMB38"/>
      <c r="AMC38"/>
      <c r="AMD38"/>
      <c r="AME38"/>
      <c r="AMF38"/>
      <c r="AMG38"/>
      <c r="AMH38"/>
      <c r="AMI38"/>
      <c r="AMJ38"/>
    </row>
    <row r="39" spans="1:1024" s="25" customFormat="1" x14ac:dyDescent="0.25">
      <c r="A39" s="85">
        <v>25</v>
      </c>
      <c r="B39" s="85"/>
      <c r="C39" s="84" t="s">
        <v>450</v>
      </c>
      <c r="D39" s="85" t="s">
        <v>77</v>
      </c>
      <c r="E39" s="27"/>
      <c r="F39" s="85">
        <v>6</v>
      </c>
      <c r="G39" s="80"/>
      <c r="H39" s="80"/>
      <c r="I39" s="80"/>
      <c r="J39" s="267"/>
      <c r="K39" s="86"/>
      <c r="L39" s="86"/>
      <c r="M39" s="80"/>
      <c r="N39" s="80"/>
      <c r="O39" s="80"/>
      <c r="P39" s="80"/>
      <c r="Q39" s="163"/>
      <c r="AMA39"/>
      <c r="AMB39"/>
      <c r="AMC39"/>
      <c r="AMD39"/>
      <c r="AME39"/>
      <c r="AMF39"/>
      <c r="AMG39"/>
      <c r="AMH39"/>
      <c r="AMI39"/>
      <c r="AMJ39"/>
    </row>
    <row r="40" spans="1:1024" s="25" customFormat="1" ht="22.5" x14ac:dyDescent="0.25">
      <c r="A40" s="33">
        <v>26</v>
      </c>
      <c r="B40" s="33"/>
      <c r="C40" s="84" t="s">
        <v>451</v>
      </c>
      <c r="D40" s="85" t="s">
        <v>77</v>
      </c>
      <c r="E40" s="27"/>
      <c r="F40" s="85">
        <v>6</v>
      </c>
      <c r="G40" s="80"/>
      <c r="H40" s="80"/>
      <c r="I40" s="80"/>
      <c r="J40" s="267"/>
      <c r="K40" s="86"/>
      <c r="L40" s="86"/>
      <c r="M40" s="80"/>
      <c r="N40" s="80"/>
      <c r="O40" s="80"/>
      <c r="P40" s="80"/>
      <c r="Q40" s="163"/>
      <c r="AMA40"/>
      <c r="AMB40"/>
      <c r="AMC40"/>
      <c r="AMD40"/>
      <c r="AME40"/>
      <c r="AMF40"/>
      <c r="AMG40"/>
      <c r="AMH40"/>
      <c r="AMI40"/>
      <c r="AMJ40"/>
    </row>
    <row r="41" spans="1:1024" s="25" customFormat="1" ht="22.5" x14ac:dyDescent="0.25">
      <c r="A41" s="33">
        <v>27</v>
      </c>
      <c r="B41" s="33"/>
      <c r="C41" s="84" t="s">
        <v>452</v>
      </c>
      <c r="D41" s="85" t="s">
        <v>77</v>
      </c>
      <c r="E41" s="27"/>
      <c r="F41" s="85">
        <v>18</v>
      </c>
      <c r="G41" s="80"/>
      <c r="H41" s="80"/>
      <c r="I41" s="80"/>
      <c r="J41" s="267"/>
      <c r="K41" s="86"/>
      <c r="L41" s="86"/>
      <c r="M41" s="80"/>
      <c r="N41" s="80"/>
      <c r="O41" s="80"/>
      <c r="P41" s="80"/>
      <c r="Q41" s="163"/>
      <c r="AMA41"/>
      <c r="AMB41"/>
      <c r="AMC41"/>
      <c r="AMD41"/>
      <c r="AME41"/>
      <c r="AMF41"/>
      <c r="AMG41"/>
      <c r="AMH41"/>
      <c r="AMI41"/>
      <c r="AMJ41"/>
    </row>
    <row r="42" spans="1:1024" s="25" customFormat="1" ht="22.5" x14ac:dyDescent="0.25">
      <c r="A42" s="33">
        <v>28</v>
      </c>
      <c r="B42" s="33"/>
      <c r="C42" s="84" t="s">
        <v>453</v>
      </c>
      <c r="D42" s="85" t="s">
        <v>77</v>
      </c>
      <c r="E42" s="27"/>
      <c r="F42" s="85">
        <v>18</v>
      </c>
      <c r="G42" s="80"/>
      <c r="H42" s="80"/>
      <c r="I42" s="80"/>
      <c r="J42" s="267"/>
      <c r="K42" s="86"/>
      <c r="L42" s="86"/>
      <c r="M42" s="80"/>
      <c r="N42" s="80"/>
      <c r="O42" s="80"/>
      <c r="P42" s="80"/>
      <c r="Q42" s="163"/>
      <c r="AMA42"/>
      <c r="AMB42"/>
      <c r="AMC42"/>
      <c r="AMD42"/>
      <c r="AME42"/>
      <c r="AMF42"/>
      <c r="AMG42"/>
      <c r="AMH42"/>
      <c r="AMI42"/>
      <c r="AMJ42"/>
    </row>
    <row r="43" spans="1:1024" s="25" customFormat="1" ht="22.5" x14ac:dyDescent="0.25">
      <c r="A43" s="33">
        <v>29</v>
      </c>
      <c r="B43" s="33"/>
      <c r="C43" s="84" t="s">
        <v>454</v>
      </c>
      <c r="D43" s="85" t="s">
        <v>77</v>
      </c>
      <c r="E43" s="27"/>
      <c r="F43" s="85">
        <v>12</v>
      </c>
      <c r="G43" s="80"/>
      <c r="H43" s="80"/>
      <c r="I43" s="80"/>
      <c r="J43" s="267"/>
      <c r="K43" s="86"/>
      <c r="L43" s="86"/>
      <c r="M43" s="80"/>
      <c r="N43" s="80"/>
      <c r="O43" s="80"/>
      <c r="P43" s="80"/>
      <c r="Q43" s="163"/>
      <c r="AMA43"/>
      <c r="AMB43"/>
      <c r="AMC43"/>
      <c r="AMD43"/>
      <c r="AME43"/>
      <c r="AMF43"/>
      <c r="AMG43"/>
      <c r="AMH43"/>
      <c r="AMI43"/>
      <c r="AMJ43"/>
    </row>
    <row r="44" spans="1:1024" s="25" customFormat="1" x14ac:dyDescent="0.25">
      <c r="A44" s="33">
        <v>30</v>
      </c>
      <c r="B44" s="33"/>
      <c r="C44" s="84" t="s">
        <v>455</v>
      </c>
      <c r="D44" s="85" t="s">
        <v>77</v>
      </c>
      <c r="E44" s="27"/>
      <c r="F44" s="85">
        <v>18</v>
      </c>
      <c r="G44" s="80"/>
      <c r="H44" s="80"/>
      <c r="I44" s="80"/>
      <c r="J44" s="267"/>
      <c r="K44" s="86"/>
      <c r="L44" s="86"/>
      <c r="M44" s="80"/>
      <c r="N44" s="80"/>
      <c r="O44" s="80"/>
      <c r="P44" s="80"/>
      <c r="Q44" s="163"/>
      <c r="AMA44"/>
      <c r="AMB44"/>
      <c r="AMC44"/>
      <c r="AMD44"/>
      <c r="AME44"/>
      <c r="AMF44"/>
      <c r="AMG44"/>
      <c r="AMH44"/>
      <c r="AMI44"/>
      <c r="AMJ44"/>
    </row>
    <row r="45" spans="1:1024" s="25" customFormat="1" x14ac:dyDescent="0.25">
      <c r="A45" s="33">
        <v>31</v>
      </c>
      <c r="B45" s="33"/>
      <c r="C45" s="84" t="s">
        <v>456</v>
      </c>
      <c r="D45" s="85" t="s">
        <v>77</v>
      </c>
      <c r="E45" s="27"/>
      <c r="F45" s="85">
        <v>18</v>
      </c>
      <c r="G45" s="80"/>
      <c r="H45" s="80"/>
      <c r="I45" s="80"/>
      <c r="J45" s="267"/>
      <c r="K45" s="86"/>
      <c r="L45" s="86"/>
      <c r="M45" s="80"/>
      <c r="N45" s="80"/>
      <c r="O45" s="80"/>
      <c r="P45" s="80"/>
      <c r="Q45" s="163"/>
      <c r="AMA45"/>
      <c r="AMB45"/>
      <c r="AMC45"/>
      <c r="AMD45"/>
      <c r="AME45"/>
      <c r="AMF45"/>
      <c r="AMG45"/>
      <c r="AMH45"/>
      <c r="AMI45"/>
      <c r="AMJ45"/>
    </row>
    <row r="46" spans="1:1024" s="25" customFormat="1" x14ac:dyDescent="0.25">
      <c r="A46" s="33">
        <v>32</v>
      </c>
      <c r="B46" s="33"/>
      <c r="C46" s="84" t="s">
        <v>457</v>
      </c>
      <c r="D46" s="85" t="s">
        <v>77</v>
      </c>
      <c r="E46" s="27"/>
      <c r="F46" s="85">
        <v>12</v>
      </c>
      <c r="G46" s="80"/>
      <c r="H46" s="80"/>
      <c r="I46" s="80"/>
      <c r="J46" s="267"/>
      <c r="K46" s="86"/>
      <c r="L46" s="86"/>
      <c r="M46" s="80"/>
      <c r="N46" s="80"/>
      <c r="O46" s="80"/>
      <c r="P46" s="80"/>
      <c r="Q46" s="163"/>
      <c r="AMA46"/>
      <c r="AMB46"/>
      <c r="AMC46"/>
      <c r="AMD46"/>
      <c r="AME46"/>
      <c r="AMF46"/>
      <c r="AMG46"/>
      <c r="AMH46"/>
      <c r="AMI46"/>
      <c r="AMJ46"/>
    </row>
    <row r="47" spans="1:1024" s="25" customFormat="1" x14ac:dyDescent="0.25">
      <c r="A47" s="33">
        <v>33</v>
      </c>
      <c r="B47" s="33"/>
      <c r="C47" s="84" t="s">
        <v>458</v>
      </c>
      <c r="D47" s="85" t="s">
        <v>77</v>
      </c>
      <c r="E47" s="27"/>
      <c r="F47" s="85">
        <v>24</v>
      </c>
      <c r="G47" s="80"/>
      <c r="H47" s="80"/>
      <c r="I47" s="80"/>
      <c r="J47" s="267"/>
      <c r="K47" s="86"/>
      <c r="L47" s="86"/>
      <c r="M47" s="80"/>
      <c r="N47" s="80"/>
      <c r="O47" s="80"/>
      <c r="P47" s="80"/>
      <c r="Q47" s="163"/>
      <c r="AMA47"/>
      <c r="AMB47"/>
      <c r="AMC47"/>
      <c r="AMD47"/>
      <c r="AME47"/>
      <c r="AMF47"/>
      <c r="AMG47"/>
      <c r="AMH47"/>
      <c r="AMI47"/>
      <c r="AMJ47"/>
    </row>
    <row r="48" spans="1:1024" s="25" customFormat="1" x14ac:dyDescent="0.25">
      <c r="A48" s="33">
        <v>34</v>
      </c>
      <c r="B48" s="33"/>
      <c r="C48" s="84" t="s">
        <v>459</v>
      </c>
      <c r="D48" s="85" t="s">
        <v>77</v>
      </c>
      <c r="E48" s="27"/>
      <c r="F48" s="85">
        <v>12</v>
      </c>
      <c r="G48" s="80"/>
      <c r="H48" s="80"/>
      <c r="I48" s="80"/>
      <c r="J48" s="267"/>
      <c r="K48" s="86"/>
      <c r="L48" s="86"/>
      <c r="M48" s="80"/>
      <c r="N48" s="80"/>
      <c r="O48" s="80"/>
      <c r="P48" s="80"/>
      <c r="Q48" s="163"/>
      <c r="AMA48"/>
      <c r="AMB48"/>
      <c r="AMC48"/>
      <c r="AMD48"/>
      <c r="AME48"/>
      <c r="AMF48"/>
      <c r="AMG48"/>
      <c r="AMH48"/>
      <c r="AMI48"/>
      <c r="AMJ48"/>
    </row>
    <row r="49" spans="1:1024" s="25" customFormat="1" x14ac:dyDescent="0.25">
      <c r="A49" s="33">
        <v>35</v>
      </c>
      <c r="B49" s="33"/>
      <c r="C49" s="84" t="s">
        <v>460</v>
      </c>
      <c r="D49" s="85" t="s">
        <v>77</v>
      </c>
      <c r="E49" s="27"/>
      <c r="F49" s="85">
        <v>12</v>
      </c>
      <c r="G49" s="80"/>
      <c r="H49" s="80"/>
      <c r="I49" s="80"/>
      <c r="J49" s="267"/>
      <c r="K49" s="86"/>
      <c r="L49" s="86"/>
      <c r="M49" s="80"/>
      <c r="N49" s="80"/>
      <c r="O49" s="80"/>
      <c r="P49" s="80"/>
      <c r="Q49" s="163"/>
      <c r="AMA49"/>
      <c r="AMB49"/>
      <c r="AMC49"/>
      <c r="AMD49"/>
      <c r="AME49"/>
      <c r="AMF49"/>
      <c r="AMG49"/>
      <c r="AMH49"/>
      <c r="AMI49"/>
      <c r="AMJ49"/>
    </row>
    <row r="50" spans="1:1024" s="25" customFormat="1" x14ac:dyDescent="0.25">
      <c r="A50" s="33">
        <v>36</v>
      </c>
      <c r="B50" s="33"/>
      <c r="C50" s="84" t="s">
        <v>461</v>
      </c>
      <c r="D50" s="85" t="s">
        <v>77</v>
      </c>
      <c r="E50" s="27"/>
      <c r="F50" s="85">
        <v>2</v>
      </c>
      <c r="G50" s="80"/>
      <c r="H50" s="80"/>
      <c r="I50" s="80"/>
      <c r="J50" s="267"/>
      <c r="K50" s="86"/>
      <c r="L50" s="86"/>
      <c r="M50" s="80"/>
      <c r="N50" s="80"/>
      <c r="O50" s="80"/>
      <c r="P50" s="80"/>
      <c r="Q50" s="163"/>
      <c r="AMA50"/>
      <c r="AMB50"/>
      <c r="AMC50"/>
      <c r="AMD50"/>
      <c r="AME50"/>
      <c r="AMF50"/>
      <c r="AMG50"/>
      <c r="AMH50"/>
      <c r="AMI50"/>
      <c r="AMJ50"/>
    </row>
    <row r="51" spans="1:1024" s="25" customFormat="1" x14ac:dyDescent="0.25">
      <c r="A51" s="33">
        <v>37</v>
      </c>
      <c r="B51" s="33"/>
      <c r="C51" s="84" t="s">
        <v>462</v>
      </c>
      <c r="D51" s="85" t="s">
        <v>77</v>
      </c>
      <c r="E51" s="27"/>
      <c r="F51" s="85">
        <v>8</v>
      </c>
      <c r="G51" s="80"/>
      <c r="H51" s="80"/>
      <c r="I51" s="80"/>
      <c r="J51" s="267"/>
      <c r="K51" s="86"/>
      <c r="L51" s="86"/>
      <c r="M51" s="80"/>
      <c r="N51" s="80"/>
      <c r="O51" s="80"/>
      <c r="P51" s="80"/>
      <c r="Q51" s="163"/>
      <c r="AMA51"/>
      <c r="AMB51"/>
      <c r="AMC51"/>
      <c r="AMD51"/>
      <c r="AME51"/>
      <c r="AMF51"/>
      <c r="AMG51"/>
      <c r="AMH51"/>
      <c r="AMI51"/>
      <c r="AMJ51"/>
    </row>
    <row r="52" spans="1:1024" s="25" customFormat="1" x14ac:dyDescent="0.25">
      <c r="A52" s="33">
        <v>38</v>
      </c>
      <c r="B52" s="33"/>
      <c r="C52" s="84" t="s">
        <v>463</v>
      </c>
      <c r="D52" s="85" t="s">
        <v>77</v>
      </c>
      <c r="E52" s="27"/>
      <c r="F52" s="94">
        <v>8</v>
      </c>
      <c r="G52" s="80"/>
      <c r="H52" s="80"/>
      <c r="I52" s="80"/>
      <c r="J52" s="267"/>
      <c r="K52" s="86"/>
      <c r="L52" s="86"/>
      <c r="M52" s="80"/>
      <c r="N52" s="80"/>
      <c r="O52" s="80"/>
      <c r="P52" s="80"/>
      <c r="Q52" s="163"/>
      <c r="AMA52"/>
      <c r="AMB52"/>
      <c r="AMC52"/>
      <c r="AMD52"/>
      <c r="AME52"/>
      <c r="AMF52"/>
      <c r="AMG52"/>
      <c r="AMH52"/>
      <c r="AMI52"/>
      <c r="AMJ52"/>
    </row>
    <row r="53" spans="1:1024" s="25" customFormat="1" x14ac:dyDescent="0.25">
      <c r="A53" s="33">
        <v>39</v>
      </c>
      <c r="B53" s="177"/>
      <c r="C53" s="178" t="s">
        <v>464</v>
      </c>
      <c r="D53" s="268" t="s">
        <v>77</v>
      </c>
      <c r="E53" s="27"/>
      <c r="F53" s="269">
        <v>6</v>
      </c>
      <c r="G53" s="80"/>
      <c r="H53" s="80"/>
      <c r="I53" s="80"/>
      <c r="J53" s="267"/>
      <c r="K53" s="86"/>
      <c r="L53" s="86"/>
      <c r="M53" s="80"/>
      <c r="N53" s="80"/>
      <c r="O53" s="80"/>
      <c r="P53" s="80"/>
      <c r="Q53" s="163"/>
      <c r="AMA53"/>
      <c r="AMB53"/>
      <c r="AMC53"/>
      <c r="AMD53"/>
      <c r="AME53"/>
      <c r="AMF53"/>
      <c r="AMG53"/>
      <c r="AMH53"/>
      <c r="AMI53"/>
      <c r="AMJ53"/>
    </row>
    <row r="54" spans="1:1024" s="25" customFormat="1" ht="33.75" x14ac:dyDescent="0.25">
      <c r="A54" s="33">
        <v>40</v>
      </c>
      <c r="B54" s="33"/>
      <c r="C54" s="84" t="s">
        <v>465</v>
      </c>
      <c r="D54" s="85" t="s">
        <v>77</v>
      </c>
      <c r="E54" s="27"/>
      <c r="F54" s="94">
        <v>12</v>
      </c>
      <c r="G54" s="80"/>
      <c r="H54" s="80"/>
      <c r="I54" s="80"/>
      <c r="J54" s="267"/>
      <c r="K54" s="86"/>
      <c r="L54" s="86"/>
      <c r="M54" s="80"/>
      <c r="N54" s="80"/>
      <c r="O54" s="80"/>
      <c r="P54" s="80"/>
      <c r="Q54" s="163"/>
      <c r="AMA54"/>
      <c r="AMB54"/>
      <c r="AMC54"/>
      <c r="AMD54"/>
      <c r="AME54"/>
      <c r="AMF54"/>
      <c r="AMG54"/>
      <c r="AMH54"/>
      <c r="AMI54"/>
      <c r="AMJ54"/>
    </row>
    <row r="55" spans="1:1024" s="25" customFormat="1" ht="33.75" x14ac:dyDescent="0.25">
      <c r="A55" s="33">
        <v>41</v>
      </c>
      <c r="B55" s="33"/>
      <c r="C55" s="84" t="s">
        <v>466</v>
      </c>
      <c r="D55" s="85" t="s">
        <v>77</v>
      </c>
      <c r="E55" s="27"/>
      <c r="F55" s="94">
        <v>18</v>
      </c>
      <c r="G55" s="80"/>
      <c r="H55" s="80"/>
      <c r="I55" s="80"/>
      <c r="J55" s="267"/>
      <c r="K55" s="86"/>
      <c r="L55" s="86"/>
      <c r="M55" s="80"/>
      <c r="N55" s="80"/>
      <c r="O55" s="80"/>
      <c r="P55" s="80"/>
      <c r="Q55" s="163"/>
      <c r="AMA55"/>
      <c r="AMB55"/>
      <c r="AMC55"/>
      <c r="AMD55"/>
      <c r="AME55"/>
      <c r="AMF55"/>
      <c r="AMG55"/>
      <c r="AMH55"/>
      <c r="AMI55"/>
      <c r="AMJ55"/>
    </row>
    <row r="56" spans="1:1024" s="25" customFormat="1" ht="33.75" x14ac:dyDescent="0.25">
      <c r="A56" s="33">
        <v>42</v>
      </c>
      <c r="B56" s="33"/>
      <c r="C56" s="84" t="s">
        <v>467</v>
      </c>
      <c r="D56" s="85" t="s">
        <v>77</v>
      </c>
      <c r="E56" s="27"/>
      <c r="F56" s="94">
        <v>18</v>
      </c>
      <c r="G56" s="80"/>
      <c r="H56" s="80"/>
      <c r="I56" s="80"/>
      <c r="J56" s="267"/>
      <c r="K56" s="86"/>
      <c r="L56" s="86"/>
      <c r="M56" s="80"/>
      <c r="N56" s="80"/>
      <c r="O56" s="80"/>
      <c r="P56" s="80"/>
      <c r="Q56" s="163"/>
      <c r="AMA56"/>
      <c r="AMB56"/>
      <c r="AMC56"/>
      <c r="AMD56"/>
      <c r="AME56"/>
      <c r="AMF56"/>
      <c r="AMG56"/>
      <c r="AMH56"/>
      <c r="AMI56"/>
      <c r="AMJ56"/>
    </row>
    <row r="57" spans="1:1024" s="25" customFormat="1" ht="33.75" x14ac:dyDescent="0.25">
      <c r="A57" s="33">
        <v>43</v>
      </c>
      <c r="B57" s="33"/>
      <c r="C57" s="84" t="s">
        <v>468</v>
      </c>
      <c r="D57" s="85" t="s">
        <v>77</v>
      </c>
      <c r="E57" s="27"/>
      <c r="F57" s="94">
        <v>12</v>
      </c>
      <c r="G57" s="80"/>
      <c r="H57" s="80"/>
      <c r="I57" s="80"/>
      <c r="J57" s="267"/>
      <c r="K57" s="86"/>
      <c r="L57" s="86"/>
      <c r="M57" s="80"/>
      <c r="N57" s="80"/>
      <c r="O57" s="80"/>
      <c r="P57" s="80"/>
      <c r="Q57" s="163"/>
      <c r="AMA57"/>
      <c r="AMB57"/>
      <c r="AMC57"/>
      <c r="AMD57"/>
      <c r="AME57"/>
      <c r="AMF57"/>
      <c r="AMG57"/>
      <c r="AMH57"/>
      <c r="AMI57"/>
      <c r="AMJ57"/>
    </row>
    <row r="58" spans="1:1024" s="25" customFormat="1" ht="33.75" x14ac:dyDescent="0.25">
      <c r="A58" s="33">
        <v>44</v>
      </c>
      <c r="B58" s="33"/>
      <c r="C58" s="84" t="s">
        <v>469</v>
      </c>
      <c r="D58" s="85" t="s">
        <v>77</v>
      </c>
      <c r="E58" s="27"/>
      <c r="F58" s="94">
        <v>6</v>
      </c>
      <c r="G58" s="80"/>
      <c r="H58" s="80"/>
      <c r="I58" s="80"/>
      <c r="J58" s="267"/>
      <c r="K58" s="86"/>
      <c r="L58" s="86"/>
      <c r="M58" s="80"/>
      <c r="N58" s="80"/>
      <c r="O58" s="80"/>
      <c r="P58" s="80"/>
      <c r="Q58" s="163"/>
      <c r="AMA58"/>
      <c r="AMB58"/>
      <c r="AMC58"/>
      <c r="AMD58"/>
      <c r="AME58"/>
      <c r="AMF58"/>
      <c r="AMG58"/>
      <c r="AMH58"/>
      <c r="AMI58"/>
      <c r="AMJ58"/>
    </row>
    <row r="59" spans="1:1024" s="25" customFormat="1" ht="33.75" x14ac:dyDescent="0.25">
      <c r="A59" s="33">
        <v>45</v>
      </c>
      <c r="B59" s="33"/>
      <c r="C59" s="84" t="s">
        <v>470</v>
      </c>
      <c r="D59" s="85" t="s">
        <v>77</v>
      </c>
      <c r="E59" s="27"/>
      <c r="F59" s="94">
        <v>12</v>
      </c>
      <c r="G59" s="80"/>
      <c r="H59" s="80"/>
      <c r="I59" s="80"/>
      <c r="J59" s="267"/>
      <c r="K59" s="86"/>
      <c r="L59" s="86"/>
      <c r="M59" s="80"/>
      <c r="N59" s="80"/>
      <c r="O59" s="80"/>
      <c r="P59" s="80"/>
      <c r="Q59" s="163"/>
      <c r="AMA59"/>
      <c r="AMB59"/>
      <c r="AMC59"/>
      <c r="AMD59"/>
      <c r="AME59"/>
      <c r="AMF59"/>
      <c r="AMG59"/>
      <c r="AMH59"/>
      <c r="AMI59"/>
      <c r="AMJ59"/>
    </row>
    <row r="60" spans="1:1024" s="25" customFormat="1" ht="22.5" x14ac:dyDescent="0.25">
      <c r="A60" s="85">
        <v>46</v>
      </c>
      <c r="B60" s="85"/>
      <c r="C60" s="84" t="s">
        <v>471</v>
      </c>
      <c r="D60" s="85" t="s">
        <v>54</v>
      </c>
      <c r="E60" s="27"/>
      <c r="F60" s="94">
        <v>102</v>
      </c>
      <c r="G60" s="80"/>
      <c r="H60" s="80"/>
      <c r="I60" s="80"/>
      <c r="J60" s="267"/>
      <c r="K60" s="86"/>
      <c r="L60" s="86"/>
      <c r="M60" s="80"/>
      <c r="N60" s="80"/>
      <c r="O60" s="80"/>
      <c r="P60" s="80"/>
      <c r="Q60" s="163"/>
      <c r="AMA60"/>
      <c r="AMB60"/>
      <c r="AMC60"/>
      <c r="AMD60"/>
      <c r="AME60"/>
      <c r="AMF60"/>
      <c r="AMG60"/>
      <c r="AMH60"/>
      <c r="AMI60"/>
      <c r="AMJ60"/>
    </row>
    <row r="61" spans="1:1024" s="25" customFormat="1" ht="22.5" x14ac:dyDescent="0.25">
      <c r="A61" s="85">
        <v>47</v>
      </c>
      <c r="B61" s="85"/>
      <c r="C61" s="84" t="s">
        <v>472</v>
      </c>
      <c r="D61" s="85" t="s">
        <v>54</v>
      </c>
      <c r="E61" s="27"/>
      <c r="F61" s="94">
        <v>162</v>
      </c>
      <c r="G61" s="80"/>
      <c r="H61" s="80"/>
      <c r="I61" s="80"/>
      <c r="J61" s="267"/>
      <c r="K61" s="86"/>
      <c r="L61" s="86"/>
      <c r="M61" s="80"/>
      <c r="N61" s="80"/>
      <c r="O61" s="80"/>
      <c r="P61" s="80"/>
      <c r="Q61" s="163"/>
      <c r="AMA61"/>
      <c r="AMB61"/>
      <c r="AMC61"/>
      <c r="AMD61"/>
      <c r="AME61"/>
      <c r="AMF61"/>
      <c r="AMG61"/>
      <c r="AMH61"/>
      <c r="AMI61"/>
      <c r="AMJ61"/>
    </row>
    <row r="62" spans="1:1024" s="25" customFormat="1" ht="22.5" x14ac:dyDescent="0.25">
      <c r="A62" s="85">
        <v>48</v>
      </c>
      <c r="B62" s="85"/>
      <c r="C62" s="84" t="s">
        <v>473</v>
      </c>
      <c r="D62" s="85" t="s">
        <v>54</v>
      </c>
      <c r="E62" s="27"/>
      <c r="F62" s="94">
        <v>162</v>
      </c>
      <c r="G62" s="80"/>
      <c r="H62" s="80"/>
      <c r="I62" s="80"/>
      <c r="J62" s="267"/>
      <c r="K62" s="86"/>
      <c r="L62" s="86"/>
      <c r="M62" s="80"/>
      <c r="N62" s="80"/>
      <c r="O62" s="80"/>
      <c r="P62" s="80"/>
      <c r="Q62" s="163"/>
      <c r="AMA62"/>
      <c r="AMB62"/>
      <c r="AMC62"/>
      <c r="AMD62"/>
      <c r="AME62"/>
      <c r="AMF62"/>
      <c r="AMG62"/>
      <c r="AMH62"/>
      <c r="AMI62"/>
      <c r="AMJ62"/>
    </row>
    <row r="63" spans="1:1024" s="27" customFormat="1" ht="22.5" x14ac:dyDescent="0.25">
      <c r="A63" s="85">
        <v>49</v>
      </c>
      <c r="B63" s="85"/>
      <c r="C63" s="84" t="s">
        <v>474</v>
      </c>
      <c r="D63" s="85" t="s">
        <v>54</v>
      </c>
      <c r="F63" s="94">
        <v>32</v>
      </c>
      <c r="G63" s="80"/>
      <c r="H63" s="80"/>
      <c r="I63" s="80"/>
      <c r="J63" s="267"/>
      <c r="K63" s="86"/>
      <c r="L63" s="86"/>
      <c r="M63" s="80"/>
      <c r="N63" s="80"/>
      <c r="O63" s="80"/>
      <c r="P63" s="80"/>
      <c r="Q63" s="163"/>
    </row>
    <row r="64" spans="1:1024" s="27" customFormat="1" ht="22.5" x14ac:dyDescent="0.25">
      <c r="A64" s="85">
        <v>50</v>
      </c>
      <c r="B64" s="85"/>
      <c r="C64" s="84" t="s">
        <v>475</v>
      </c>
      <c r="D64" s="85" t="s">
        <v>54</v>
      </c>
      <c r="F64" s="94">
        <v>12</v>
      </c>
      <c r="G64" s="80"/>
      <c r="H64" s="80"/>
      <c r="I64" s="80"/>
      <c r="J64" s="267"/>
      <c r="K64" s="86"/>
      <c r="L64" s="86"/>
      <c r="M64" s="80"/>
      <c r="N64" s="80"/>
      <c r="O64" s="80"/>
      <c r="P64" s="80"/>
      <c r="Q64" s="163"/>
    </row>
    <row r="65" spans="1:1024" s="27" customFormat="1" ht="22.5" x14ac:dyDescent="0.25">
      <c r="A65" s="85">
        <v>51</v>
      </c>
      <c r="B65" s="85"/>
      <c r="C65" s="84" t="s">
        <v>476</v>
      </c>
      <c r="D65" s="85" t="s">
        <v>54</v>
      </c>
      <c r="F65" s="94">
        <v>72</v>
      </c>
      <c r="G65" s="80"/>
      <c r="H65" s="80"/>
      <c r="I65" s="80"/>
      <c r="J65" s="267"/>
      <c r="K65" s="86"/>
      <c r="L65" s="86"/>
      <c r="M65" s="80"/>
      <c r="N65" s="80"/>
      <c r="O65" s="80"/>
      <c r="P65" s="80"/>
      <c r="Q65" s="163"/>
    </row>
    <row r="66" spans="1:1024" s="27" customFormat="1" ht="22.5" x14ac:dyDescent="0.25">
      <c r="A66" s="85">
        <v>52</v>
      </c>
      <c r="B66" s="85"/>
      <c r="C66" s="84" t="s">
        <v>477</v>
      </c>
      <c r="D66" s="85" t="s">
        <v>54</v>
      </c>
      <c r="F66" s="94">
        <v>830</v>
      </c>
      <c r="G66" s="80"/>
      <c r="H66" s="80"/>
      <c r="I66" s="80"/>
      <c r="J66" s="267"/>
      <c r="K66" s="86"/>
      <c r="L66" s="86"/>
      <c r="M66" s="80"/>
      <c r="N66" s="80"/>
      <c r="O66" s="80"/>
      <c r="P66" s="80"/>
      <c r="Q66" s="163"/>
    </row>
    <row r="67" spans="1:1024" s="27" customFormat="1" ht="22.5" x14ac:dyDescent="0.25">
      <c r="A67" s="85">
        <v>53</v>
      </c>
      <c r="B67" s="85"/>
      <c r="C67" s="84" t="s">
        <v>478</v>
      </c>
      <c r="D67" s="85" t="s">
        <v>54</v>
      </c>
      <c r="F67" s="94">
        <v>15</v>
      </c>
      <c r="G67" s="80"/>
      <c r="H67" s="80"/>
      <c r="I67" s="80"/>
      <c r="J67" s="267"/>
      <c r="K67" s="86"/>
      <c r="L67" s="86"/>
      <c r="M67" s="80"/>
      <c r="N67" s="80"/>
      <c r="O67" s="80"/>
      <c r="P67" s="80"/>
      <c r="Q67" s="163"/>
    </row>
    <row r="68" spans="1:1024" s="25" customFormat="1" ht="33.75" x14ac:dyDescent="0.25">
      <c r="A68" s="85">
        <v>54</v>
      </c>
      <c r="B68" s="270"/>
      <c r="C68" s="271" t="s">
        <v>479</v>
      </c>
      <c r="D68" s="85" t="s">
        <v>426</v>
      </c>
      <c r="E68" s="27"/>
      <c r="F68" s="94">
        <v>3</v>
      </c>
      <c r="G68" s="86"/>
      <c r="H68" s="80"/>
      <c r="I68" s="80"/>
      <c r="J68" s="272"/>
      <c r="K68" s="86"/>
      <c r="L68" s="86"/>
      <c r="M68" s="80"/>
      <c r="N68" s="80"/>
      <c r="O68" s="80"/>
      <c r="P68" s="80"/>
      <c r="Q68" s="163"/>
      <c r="AMA68"/>
      <c r="AMB68"/>
      <c r="AMC68"/>
      <c r="AMD68"/>
      <c r="AME68"/>
      <c r="AMF68"/>
      <c r="AMG68"/>
      <c r="AMH68"/>
      <c r="AMI68"/>
      <c r="AMJ68"/>
    </row>
    <row r="69" spans="1:1024" s="25" customFormat="1" ht="33.75" x14ac:dyDescent="0.25">
      <c r="A69" s="85">
        <v>55</v>
      </c>
      <c r="B69" s="270"/>
      <c r="C69" s="271" t="s">
        <v>480</v>
      </c>
      <c r="D69" s="85" t="s">
        <v>426</v>
      </c>
      <c r="E69" s="27"/>
      <c r="F69" s="94">
        <v>3</v>
      </c>
      <c r="G69" s="86"/>
      <c r="H69" s="80"/>
      <c r="I69" s="80"/>
      <c r="J69" s="272"/>
      <c r="K69" s="86"/>
      <c r="L69" s="86"/>
      <c r="M69" s="80"/>
      <c r="N69" s="80"/>
      <c r="O69" s="80"/>
      <c r="P69" s="80"/>
      <c r="Q69" s="163"/>
      <c r="AMA69"/>
      <c r="AMB69"/>
      <c r="AMC69"/>
      <c r="AMD69"/>
      <c r="AME69"/>
      <c r="AMF69"/>
      <c r="AMG69"/>
      <c r="AMH69"/>
      <c r="AMI69"/>
      <c r="AMJ69"/>
    </row>
    <row r="70" spans="1:1024" s="25" customFormat="1" ht="35.1" customHeight="1" x14ac:dyDescent="0.25">
      <c r="A70" s="85">
        <v>56</v>
      </c>
      <c r="B70" s="270"/>
      <c r="C70" s="271" t="s">
        <v>481</v>
      </c>
      <c r="D70" s="85" t="s">
        <v>426</v>
      </c>
      <c r="E70" s="27"/>
      <c r="F70" s="94">
        <v>6</v>
      </c>
      <c r="G70" s="86"/>
      <c r="H70" s="80"/>
      <c r="I70" s="80"/>
      <c r="J70" s="272"/>
      <c r="K70" s="86"/>
      <c r="L70" s="86"/>
      <c r="M70" s="80"/>
      <c r="N70" s="80"/>
      <c r="O70" s="80"/>
      <c r="P70" s="80"/>
      <c r="Q70" s="163"/>
      <c r="AMA70"/>
      <c r="AMB70"/>
      <c r="AMC70"/>
      <c r="AMD70"/>
      <c r="AME70"/>
      <c r="AMF70"/>
      <c r="AMG70"/>
      <c r="AMH70"/>
      <c r="AMI70"/>
      <c r="AMJ70"/>
    </row>
    <row r="71" spans="1:1024" s="25" customFormat="1" ht="33.75" x14ac:dyDescent="0.25">
      <c r="A71" s="85">
        <v>57</v>
      </c>
      <c r="B71" s="270"/>
      <c r="C71" s="271" t="s">
        <v>482</v>
      </c>
      <c r="D71" s="270" t="s">
        <v>77</v>
      </c>
      <c r="E71" s="27"/>
      <c r="F71" s="273">
        <v>6</v>
      </c>
      <c r="G71" s="86"/>
      <c r="H71" s="80"/>
      <c r="I71" s="80"/>
      <c r="J71" s="272"/>
      <c r="K71" s="86"/>
      <c r="L71" s="86"/>
      <c r="M71" s="80"/>
      <c r="N71" s="80"/>
      <c r="O71" s="80"/>
      <c r="P71" s="80"/>
      <c r="Q71" s="163"/>
      <c r="AMA71"/>
      <c r="AMB71"/>
      <c r="AMC71"/>
      <c r="AMD71"/>
      <c r="AME71"/>
      <c r="AMF71"/>
      <c r="AMG71"/>
      <c r="AMH71"/>
      <c r="AMI71"/>
      <c r="AMJ71"/>
    </row>
    <row r="72" spans="1:1024" s="25" customFormat="1" x14ac:dyDescent="0.25">
      <c r="A72" s="85">
        <v>58</v>
      </c>
      <c r="B72" s="85"/>
      <c r="C72" s="84" t="s">
        <v>483</v>
      </c>
      <c r="D72" s="85" t="s">
        <v>70</v>
      </c>
      <c r="E72" s="27"/>
      <c r="F72" s="94">
        <v>3</v>
      </c>
      <c r="G72" s="86"/>
      <c r="H72" s="80"/>
      <c r="I72" s="80"/>
      <c r="J72" s="272"/>
      <c r="K72" s="86"/>
      <c r="L72" s="86"/>
      <c r="M72" s="80"/>
      <c r="N72" s="80"/>
      <c r="O72" s="80"/>
      <c r="P72" s="80"/>
      <c r="Q72" s="163"/>
      <c r="AMA72"/>
      <c r="AMB72"/>
      <c r="AMC72"/>
      <c r="AMD72"/>
      <c r="AME72"/>
      <c r="AMF72"/>
      <c r="AMG72"/>
      <c r="AMH72"/>
      <c r="AMI72"/>
      <c r="AMJ72"/>
    </row>
    <row r="73" spans="1:1024" s="25" customFormat="1" x14ac:dyDescent="0.25">
      <c r="A73" s="85">
        <v>59</v>
      </c>
      <c r="B73" s="85"/>
      <c r="C73" s="84" t="s">
        <v>484</v>
      </c>
      <c r="D73" s="85" t="s">
        <v>426</v>
      </c>
      <c r="E73" s="27"/>
      <c r="F73" s="94">
        <v>3</v>
      </c>
      <c r="G73" s="86"/>
      <c r="H73" s="80"/>
      <c r="I73" s="80"/>
      <c r="J73" s="272"/>
      <c r="K73" s="86"/>
      <c r="L73" s="86"/>
      <c r="M73" s="80"/>
      <c r="N73" s="80"/>
      <c r="O73" s="80"/>
      <c r="P73" s="80"/>
      <c r="Q73" s="163"/>
      <c r="AMA73"/>
      <c r="AMB73"/>
      <c r="AMC73"/>
      <c r="AMD73"/>
      <c r="AME73"/>
      <c r="AMF73"/>
      <c r="AMG73"/>
      <c r="AMH73"/>
      <c r="AMI73"/>
      <c r="AMJ73"/>
    </row>
    <row r="74" spans="1:1024" s="25" customFormat="1" x14ac:dyDescent="0.25">
      <c r="A74" s="85">
        <v>60</v>
      </c>
      <c r="B74" s="85"/>
      <c r="C74" s="84" t="s">
        <v>485</v>
      </c>
      <c r="D74" s="85" t="s">
        <v>426</v>
      </c>
      <c r="E74" s="27"/>
      <c r="F74" s="94">
        <v>3</v>
      </c>
      <c r="G74" s="86"/>
      <c r="H74" s="80"/>
      <c r="I74" s="80"/>
      <c r="J74" s="272"/>
      <c r="K74" s="86"/>
      <c r="L74" s="86"/>
      <c r="M74" s="80"/>
      <c r="N74" s="80"/>
      <c r="O74" s="80"/>
      <c r="P74" s="80"/>
      <c r="Q74" s="163"/>
      <c r="AMA74"/>
      <c r="AMB74"/>
      <c r="AMC74"/>
      <c r="AMD74"/>
      <c r="AME74"/>
      <c r="AMF74"/>
      <c r="AMG74"/>
      <c r="AMH74"/>
      <c r="AMI74"/>
      <c r="AMJ74"/>
    </row>
    <row r="75" spans="1:1024" s="25" customFormat="1" ht="22.5" x14ac:dyDescent="0.25">
      <c r="A75" s="85">
        <v>61</v>
      </c>
      <c r="B75" s="85"/>
      <c r="C75" s="84" t="s">
        <v>486</v>
      </c>
      <c r="D75" s="85" t="s">
        <v>60</v>
      </c>
      <c r="E75" s="27"/>
      <c r="F75" s="94">
        <v>8</v>
      </c>
      <c r="G75" s="86"/>
      <c r="H75" s="80"/>
      <c r="I75" s="80"/>
      <c r="J75" s="272"/>
      <c r="K75" s="86"/>
      <c r="L75" s="86"/>
      <c r="M75" s="80"/>
      <c r="N75" s="80"/>
      <c r="O75" s="80"/>
      <c r="P75" s="80"/>
      <c r="Q75" s="163"/>
      <c r="AMA75"/>
      <c r="AMB75"/>
      <c r="AMC75"/>
      <c r="AMD75"/>
      <c r="AME75"/>
      <c r="AMF75"/>
      <c r="AMG75"/>
      <c r="AMH75"/>
      <c r="AMI75"/>
      <c r="AMJ75"/>
    </row>
    <row r="76" spans="1:1024" s="25" customFormat="1" ht="22.5" x14ac:dyDescent="0.25">
      <c r="A76" s="33">
        <v>62</v>
      </c>
      <c r="B76" s="33"/>
      <c r="C76" s="84" t="s">
        <v>487</v>
      </c>
      <c r="D76" s="85" t="s">
        <v>426</v>
      </c>
      <c r="E76" s="27"/>
      <c r="F76" s="85">
        <v>1</v>
      </c>
      <c r="G76" s="86"/>
      <c r="H76" s="80"/>
      <c r="I76" s="80"/>
      <c r="J76" s="272"/>
      <c r="K76" s="86"/>
      <c r="L76" s="86"/>
      <c r="M76" s="80"/>
      <c r="N76" s="80"/>
      <c r="O76" s="80"/>
      <c r="P76" s="80"/>
      <c r="Q76" s="163"/>
      <c r="AMA76"/>
      <c r="AMB76"/>
      <c r="AMC76"/>
      <c r="AMD76"/>
      <c r="AME76"/>
      <c r="AMF76"/>
      <c r="AMG76"/>
      <c r="AMH76"/>
      <c r="AMI76"/>
      <c r="AMJ76"/>
    </row>
    <row r="77" spans="1:1024" s="25" customFormat="1" x14ac:dyDescent="0.25">
      <c r="A77" s="33"/>
      <c r="B77" s="33"/>
      <c r="C77" s="32" t="s">
        <v>488</v>
      </c>
      <c r="D77" s="85"/>
      <c r="E77" s="27"/>
      <c r="F77" s="85"/>
      <c r="G77" s="27"/>
      <c r="H77" s="80"/>
      <c r="I77" s="80"/>
      <c r="J77" s="27"/>
      <c r="K77" s="27"/>
      <c r="L77" s="27"/>
      <c r="M77" s="27"/>
      <c r="N77" s="27"/>
      <c r="O77" s="27"/>
      <c r="P77" s="27"/>
      <c r="Q77" s="27"/>
      <c r="AMA77"/>
      <c r="AMB77"/>
      <c r="AMC77"/>
      <c r="AMD77"/>
      <c r="AME77"/>
      <c r="AMF77"/>
      <c r="AMG77"/>
      <c r="AMH77"/>
      <c r="AMI77"/>
      <c r="AMJ77"/>
    </row>
    <row r="78" spans="1:1024" s="25" customFormat="1" x14ac:dyDescent="0.25">
      <c r="A78" s="85">
        <v>1</v>
      </c>
      <c r="B78" s="85"/>
      <c r="C78" s="84" t="s">
        <v>489</v>
      </c>
      <c r="D78" s="85" t="s">
        <v>426</v>
      </c>
      <c r="E78" s="27"/>
      <c r="F78" s="85">
        <v>99</v>
      </c>
      <c r="G78" s="80"/>
      <c r="H78" s="80"/>
      <c r="I78" s="80"/>
      <c r="J78" s="267"/>
      <c r="K78" s="86"/>
      <c r="L78" s="86"/>
      <c r="M78" s="80"/>
      <c r="N78" s="80"/>
      <c r="O78" s="80"/>
      <c r="P78" s="80"/>
      <c r="Q78" s="163"/>
      <c r="AMA78"/>
      <c r="AMB78"/>
      <c r="AMC78"/>
      <c r="AMD78"/>
      <c r="AME78"/>
      <c r="AMF78"/>
      <c r="AMG78"/>
      <c r="AMH78"/>
      <c r="AMI78"/>
      <c r="AMJ78"/>
    </row>
    <row r="79" spans="1:1024" s="25" customFormat="1" ht="20.25" customHeight="1" x14ac:dyDescent="0.25">
      <c r="A79" s="85">
        <v>2</v>
      </c>
      <c r="B79" s="268"/>
      <c r="C79" s="178" t="s">
        <v>490</v>
      </c>
      <c r="D79" s="268" t="s">
        <v>426</v>
      </c>
      <c r="E79" s="27"/>
      <c r="F79" s="268">
        <v>99</v>
      </c>
      <c r="G79" s="80"/>
      <c r="H79" s="80"/>
      <c r="I79" s="80"/>
      <c r="J79" s="267"/>
      <c r="K79" s="86"/>
      <c r="L79" s="86"/>
      <c r="M79" s="80"/>
      <c r="N79" s="80"/>
      <c r="O79" s="80"/>
      <c r="P79" s="80"/>
      <c r="Q79" s="163"/>
      <c r="AMA79"/>
      <c r="AMB79"/>
      <c r="AMC79"/>
      <c r="AMD79"/>
      <c r="AME79"/>
      <c r="AMF79"/>
      <c r="AMG79"/>
      <c r="AMH79"/>
      <c r="AMI79"/>
      <c r="AMJ79"/>
    </row>
    <row r="80" spans="1:1024" s="25" customFormat="1" ht="22.5" x14ac:dyDescent="0.25">
      <c r="A80" s="85">
        <v>3</v>
      </c>
      <c r="B80" s="268"/>
      <c r="C80" s="178" t="s">
        <v>491</v>
      </c>
      <c r="D80" s="268" t="s">
        <v>77</v>
      </c>
      <c r="E80" s="27"/>
      <c r="F80" s="268">
        <v>99</v>
      </c>
      <c r="G80" s="80"/>
      <c r="H80" s="80"/>
      <c r="I80" s="80"/>
      <c r="J80" s="267"/>
      <c r="K80" s="86"/>
      <c r="L80" s="86"/>
      <c r="M80" s="80"/>
      <c r="N80" s="80"/>
      <c r="O80" s="80"/>
      <c r="P80" s="80"/>
      <c r="Q80" s="163"/>
      <c r="AMA80"/>
      <c r="AMB80"/>
      <c r="AMC80"/>
      <c r="AMD80"/>
      <c r="AME80"/>
      <c r="AMF80"/>
      <c r="AMG80"/>
      <c r="AMH80"/>
      <c r="AMI80"/>
      <c r="AMJ80"/>
    </row>
    <row r="81" spans="1:1024" s="25" customFormat="1" x14ac:dyDescent="0.25">
      <c r="A81" s="268">
        <v>4</v>
      </c>
      <c r="B81" s="268"/>
      <c r="C81" s="178" t="s">
        <v>492</v>
      </c>
      <c r="D81" s="268" t="s">
        <v>77</v>
      </c>
      <c r="E81" s="27"/>
      <c r="F81" s="268">
        <v>99</v>
      </c>
      <c r="G81" s="80"/>
      <c r="H81" s="80"/>
      <c r="I81" s="80"/>
      <c r="J81" s="267"/>
      <c r="K81" s="86"/>
      <c r="L81" s="86"/>
      <c r="M81" s="80"/>
      <c r="N81" s="80"/>
      <c r="O81" s="80"/>
      <c r="P81" s="80"/>
      <c r="Q81" s="163"/>
      <c r="AMA81"/>
      <c r="AMB81"/>
      <c r="AMC81"/>
      <c r="AMD81"/>
      <c r="AME81"/>
      <c r="AMF81"/>
      <c r="AMG81"/>
      <c r="AMH81"/>
      <c r="AMI81"/>
      <c r="AMJ81"/>
    </row>
    <row r="82" spans="1:1024" s="25" customFormat="1" ht="22.5" x14ac:dyDescent="0.25">
      <c r="A82" s="203"/>
      <c r="B82" s="203"/>
      <c r="C82" s="88" t="s">
        <v>493</v>
      </c>
      <c r="D82" s="33"/>
      <c r="E82" s="27"/>
      <c r="F82" s="33"/>
      <c r="G82" s="27"/>
      <c r="H82" s="80"/>
      <c r="I82" s="80"/>
      <c r="J82" s="27"/>
      <c r="K82" s="27"/>
      <c r="L82" s="27"/>
      <c r="M82" s="27"/>
      <c r="N82" s="27"/>
      <c r="O82" s="27"/>
      <c r="P82" s="27"/>
      <c r="Q82" s="27"/>
      <c r="AMA82"/>
      <c r="AMB82"/>
      <c r="AMC82"/>
      <c r="AMD82"/>
      <c r="AME82"/>
      <c r="AMF82"/>
      <c r="AMG82"/>
      <c r="AMH82"/>
      <c r="AMI82"/>
      <c r="AMJ82"/>
    </row>
    <row r="83" spans="1:1024" s="25" customFormat="1" ht="71.650000000000006" customHeight="1" x14ac:dyDescent="0.25">
      <c r="A83" s="33">
        <v>1</v>
      </c>
      <c r="B83" s="177"/>
      <c r="C83" s="178" t="s">
        <v>494</v>
      </c>
      <c r="D83" s="177" t="s">
        <v>426</v>
      </c>
      <c r="E83" s="177">
        <v>1</v>
      </c>
      <c r="F83" s="177">
        <f t="shared" ref="F83:F92" si="1">E83*99</f>
        <v>99</v>
      </c>
      <c r="G83" s="80"/>
      <c r="H83" s="80"/>
      <c r="I83" s="80"/>
      <c r="J83" s="267"/>
      <c r="K83" s="86"/>
      <c r="L83" s="86"/>
      <c r="M83" s="80"/>
      <c r="N83" s="80"/>
      <c r="O83" s="80"/>
      <c r="P83" s="80"/>
      <c r="Q83" s="163"/>
      <c r="AMA83"/>
      <c r="AMB83"/>
      <c r="AMC83"/>
      <c r="AMD83"/>
      <c r="AME83"/>
      <c r="AMF83"/>
      <c r="AMG83"/>
      <c r="AMH83"/>
      <c r="AMI83"/>
      <c r="AMJ83"/>
    </row>
    <row r="84" spans="1:1024" s="25" customFormat="1" ht="22.5" x14ac:dyDescent="0.25">
      <c r="A84" s="33">
        <v>2</v>
      </c>
      <c r="B84" s="33"/>
      <c r="C84" s="84" t="s">
        <v>495</v>
      </c>
      <c r="D84" s="33" t="s">
        <v>77</v>
      </c>
      <c r="E84" s="33">
        <v>1</v>
      </c>
      <c r="F84" s="177">
        <f t="shared" si="1"/>
        <v>99</v>
      </c>
      <c r="G84" s="80"/>
      <c r="H84" s="80"/>
      <c r="I84" s="80"/>
      <c r="J84" s="267"/>
      <c r="K84" s="86"/>
      <c r="L84" s="86"/>
      <c r="M84" s="80"/>
      <c r="N84" s="80"/>
      <c r="O84" s="80"/>
      <c r="P84" s="80"/>
      <c r="Q84" s="163"/>
      <c r="AMA84"/>
      <c r="AMB84"/>
      <c r="AMC84"/>
      <c r="AMD84"/>
      <c r="AME84"/>
      <c r="AMF84"/>
      <c r="AMG84"/>
      <c r="AMH84"/>
      <c r="AMI84"/>
      <c r="AMJ84"/>
    </row>
    <row r="85" spans="1:1024" s="25" customFormat="1" ht="22.5" x14ac:dyDescent="0.25">
      <c r="A85" s="33">
        <v>3</v>
      </c>
      <c r="B85" s="33"/>
      <c r="C85" s="84" t="s">
        <v>496</v>
      </c>
      <c r="D85" s="33" t="s">
        <v>77</v>
      </c>
      <c r="E85" s="33">
        <v>1</v>
      </c>
      <c r="F85" s="177">
        <f t="shared" si="1"/>
        <v>99</v>
      </c>
      <c r="G85" s="80"/>
      <c r="H85" s="80"/>
      <c r="I85" s="80"/>
      <c r="J85" s="267"/>
      <c r="K85" s="86"/>
      <c r="L85" s="86"/>
      <c r="M85" s="80"/>
      <c r="N85" s="80"/>
      <c r="O85" s="80"/>
      <c r="P85" s="80"/>
      <c r="Q85" s="163"/>
      <c r="AMA85"/>
      <c r="AMB85"/>
      <c r="AMC85"/>
      <c r="AMD85"/>
      <c r="AME85"/>
      <c r="AMF85"/>
      <c r="AMG85"/>
      <c r="AMH85"/>
      <c r="AMI85"/>
      <c r="AMJ85"/>
    </row>
    <row r="86" spans="1:1024" s="23" customFormat="1" ht="11.25" x14ac:dyDescent="0.25">
      <c r="A86" s="33">
        <v>4</v>
      </c>
      <c r="B86" s="33"/>
      <c r="C86" s="84" t="s">
        <v>497</v>
      </c>
      <c r="D86" s="33" t="s">
        <v>77</v>
      </c>
      <c r="E86" s="33">
        <v>4</v>
      </c>
      <c r="F86" s="177">
        <f t="shared" si="1"/>
        <v>396</v>
      </c>
      <c r="G86" s="80"/>
      <c r="H86" s="80"/>
      <c r="I86" s="80"/>
      <c r="J86" s="267"/>
      <c r="K86" s="86"/>
      <c r="L86" s="86"/>
      <c r="M86" s="80"/>
      <c r="N86" s="80"/>
      <c r="O86" s="80"/>
      <c r="P86" s="80"/>
      <c r="Q86" s="163"/>
    </row>
    <row r="87" spans="1:1024" s="25" customFormat="1" x14ac:dyDescent="0.25">
      <c r="A87" s="33">
        <v>5</v>
      </c>
      <c r="B87" s="33"/>
      <c r="C87" s="84" t="s">
        <v>498</v>
      </c>
      <c r="D87" s="33" t="s">
        <v>77</v>
      </c>
      <c r="E87" s="33">
        <v>1</v>
      </c>
      <c r="F87" s="177">
        <f t="shared" si="1"/>
        <v>99</v>
      </c>
      <c r="G87" s="80"/>
      <c r="H87" s="80"/>
      <c r="I87" s="80"/>
      <c r="J87" s="267"/>
      <c r="K87" s="86"/>
      <c r="L87" s="86"/>
      <c r="M87" s="80"/>
      <c r="N87" s="80"/>
      <c r="O87" s="80"/>
      <c r="P87" s="80"/>
      <c r="Q87" s="163"/>
      <c r="AMA87"/>
      <c r="AMB87"/>
      <c r="AMC87"/>
      <c r="AMD87"/>
      <c r="AME87"/>
      <c r="AMF87"/>
      <c r="AMG87"/>
      <c r="AMH87"/>
      <c r="AMI87"/>
      <c r="AMJ87"/>
    </row>
    <row r="88" spans="1:1024" s="25" customFormat="1" x14ac:dyDescent="0.25">
      <c r="A88" s="33">
        <v>6</v>
      </c>
      <c r="B88" s="33"/>
      <c r="C88" s="84" t="s">
        <v>483</v>
      </c>
      <c r="D88" s="33" t="s">
        <v>70</v>
      </c>
      <c r="E88" s="33">
        <v>1</v>
      </c>
      <c r="F88" s="177">
        <f t="shared" si="1"/>
        <v>99</v>
      </c>
      <c r="G88" s="80"/>
      <c r="H88" s="80"/>
      <c r="I88" s="80"/>
      <c r="J88" s="267"/>
      <c r="K88" s="86"/>
      <c r="L88" s="86"/>
      <c r="M88" s="80"/>
      <c r="N88" s="80"/>
      <c r="O88" s="80"/>
      <c r="P88" s="80"/>
      <c r="Q88" s="163"/>
      <c r="AMA88"/>
      <c r="AMB88"/>
      <c r="AMC88"/>
      <c r="AMD88"/>
      <c r="AME88"/>
      <c r="AMF88"/>
      <c r="AMG88"/>
      <c r="AMH88"/>
      <c r="AMI88"/>
      <c r="AMJ88"/>
    </row>
    <row r="89" spans="1:1024" s="25" customFormat="1" x14ac:dyDescent="0.25">
      <c r="A89" s="33">
        <v>7</v>
      </c>
      <c r="B89" s="33"/>
      <c r="C89" s="84" t="s">
        <v>484</v>
      </c>
      <c r="D89" s="33" t="s">
        <v>426</v>
      </c>
      <c r="E89" s="33">
        <v>1</v>
      </c>
      <c r="F89" s="177">
        <f t="shared" si="1"/>
        <v>99</v>
      </c>
      <c r="G89" s="80"/>
      <c r="H89" s="80"/>
      <c r="I89" s="80"/>
      <c r="J89" s="267"/>
      <c r="K89" s="86"/>
      <c r="L89" s="86"/>
      <c r="M89" s="80"/>
      <c r="N89" s="80"/>
      <c r="O89" s="80"/>
      <c r="P89" s="80"/>
      <c r="Q89" s="163"/>
      <c r="AMA89"/>
      <c r="AMB89"/>
      <c r="AMC89"/>
      <c r="AMD89"/>
      <c r="AME89"/>
      <c r="AMF89"/>
      <c r="AMG89"/>
      <c r="AMH89"/>
      <c r="AMI89"/>
      <c r="AMJ89"/>
    </row>
    <row r="90" spans="1:1024" s="25" customFormat="1" x14ac:dyDescent="0.25">
      <c r="A90" s="33">
        <v>8</v>
      </c>
      <c r="B90" s="33"/>
      <c r="C90" s="84" t="s">
        <v>485</v>
      </c>
      <c r="D90" s="33" t="s">
        <v>426</v>
      </c>
      <c r="E90" s="33">
        <v>1</v>
      </c>
      <c r="F90" s="177">
        <f t="shared" si="1"/>
        <v>99</v>
      </c>
      <c r="G90" s="80"/>
      <c r="H90" s="80"/>
      <c r="I90" s="80"/>
      <c r="J90" s="272"/>
      <c r="K90" s="86"/>
      <c r="L90" s="86"/>
      <c r="M90" s="80"/>
      <c r="N90" s="80"/>
      <c r="O90" s="80"/>
      <c r="P90" s="80"/>
      <c r="Q90" s="163"/>
      <c r="AMA90"/>
      <c r="AMB90"/>
      <c r="AMC90"/>
      <c r="AMD90"/>
      <c r="AME90"/>
      <c r="AMF90"/>
      <c r="AMG90"/>
      <c r="AMH90"/>
      <c r="AMI90"/>
      <c r="AMJ90"/>
    </row>
    <row r="91" spans="1:1024" s="25" customFormat="1" ht="22.5" x14ac:dyDescent="0.25">
      <c r="A91" s="33">
        <v>9</v>
      </c>
      <c r="B91" s="33"/>
      <c r="C91" s="84" t="s">
        <v>499</v>
      </c>
      <c r="D91" s="33" t="s">
        <v>60</v>
      </c>
      <c r="E91" s="33">
        <v>0.05</v>
      </c>
      <c r="F91" s="177">
        <f t="shared" si="1"/>
        <v>4.95</v>
      </c>
      <c r="G91" s="80"/>
      <c r="H91" s="80"/>
      <c r="I91" s="80"/>
      <c r="J91" s="272"/>
      <c r="K91" s="86"/>
      <c r="L91" s="86"/>
      <c r="M91" s="80"/>
      <c r="N91" s="80"/>
      <c r="O91" s="80"/>
      <c r="P91" s="80"/>
      <c r="Q91" s="163"/>
      <c r="AMA91"/>
      <c r="AMB91"/>
      <c r="AMC91"/>
      <c r="AMD91"/>
      <c r="AME91"/>
      <c r="AMF91"/>
      <c r="AMG91"/>
      <c r="AMH91"/>
      <c r="AMI91"/>
      <c r="AMJ91"/>
    </row>
    <row r="92" spans="1:1024" s="25" customFormat="1" ht="22.5" x14ac:dyDescent="0.25">
      <c r="A92" s="33">
        <v>10</v>
      </c>
      <c r="B92" s="33"/>
      <c r="C92" s="84" t="s">
        <v>487</v>
      </c>
      <c r="D92" s="33" t="s">
        <v>426</v>
      </c>
      <c r="E92" s="33">
        <v>1</v>
      </c>
      <c r="F92" s="177">
        <f t="shared" si="1"/>
        <v>99</v>
      </c>
      <c r="G92" s="80"/>
      <c r="H92" s="80"/>
      <c r="I92" s="80"/>
      <c r="J92" s="267"/>
      <c r="K92" s="86"/>
      <c r="L92" s="86"/>
      <c r="M92" s="80"/>
      <c r="N92" s="80"/>
      <c r="O92" s="80"/>
      <c r="P92" s="80"/>
      <c r="Q92" s="163"/>
      <c r="AMA92"/>
      <c r="AMB92"/>
      <c r="AMC92"/>
      <c r="AMD92"/>
      <c r="AME92"/>
      <c r="AMF92"/>
      <c r="AMG92"/>
      <c r="AMH92"/>
      <c r="AMI92"/>
      <c r="AMJ92"/>
    </row>
    <row r="93" spans="1:1024" s="25" customFormat="1" x14ac:dyDescent="0.25">
      <c r="A93" s="85"/>
      <c r="B93" s="268"/>
      <c r="C93" s="274" t="s">
        <v>500</v>
      </c>
      <c r="D93" s="268"/>
      <c r="E93" s="268"/>
      <c r="F93" s="33"/>
      <c r="G93" s="80"/>
      <c r="H93" s="80"/>
      <c r="I93" s="80"/>
      <c r="J93" s="267"/>
      <c r="K93" s="86"/>
      <c r="L93" s="86"/>
      <c r="M93" s="80"/>
      <c r="N93" s="80"/>
      <c r="O93" s="80"/>
      <c r="P93" s="80"/>
      <c r="Q93" s="163"/>
      <c r="AMA93"/>
      <c r="AMB93"/>
      <c r="AMC93"/>
      <c r="AMD93"/>
      <c r="AME93"/>
      <c r="AMF93"/>
      <c r="AMG93"/>
      <c r="AMH93"/>
      <c r="AMI93"/>
      <c r="AMJ93"/>
    </row>
    <row r="94" spans="1:1024" s="25" customFormat="1" hidden="1" x14ac:dyDescent="0.25">
      <c r="A94" s="275"/>
      <c r="B94" s="275"/>
      <c r="C94" s="33" t="s">
        <v>501</v>
      </c>
      <c r="D94" s="85"/>
      <c r="E94" s="85"/>
      <c r="F94" s="33"/>
      <c r="G94" s="27"/>
      <c r="H94" s="80"/>
      <c r="I94" s="80"/>
      <c r="J94" s="27"/>
      <c r="K94" s="27"/>
      <c r="L94" s="27"/>
      <c r="M94" s="27"/>
      <c r="N94" s="27"/>
      <c r="O94" s="27"/>
      <c r="P94" s="27"/>
      <c r="Q94" s="27"/>
      <c r="AMA94"/>
      <c r="AMB94"/>
      <c r="AMC94"/>
      <c r="AMD94"/>
      <c r="AME94"/>
      <c r="AMF94"/>
      <c r="AMG94"/>
      <c r="AMH94"/>
      <c r="AMI94"/>
      <c r="AMJ94"/>
    </row>
    <row r="95" spans="1:1024" s="25" customFormat="1" x14ac:dyDescent="0.25">
      <c r="A95" s="85">
        <v>1</v>
      </c>
      <c r="B95" s="85"/>
      <c r="C95" s="234" t="s">
        <v>425</v>
      </c>
      <c r="D95" s="85" t="s">
        <v>426</v>
      </c>
      <c r="E95" s="85">
        <v>1</v>
      </c>
      <c r="F95" s="33">
        <f t="shared" ref="F95:F109" si="2">E95*9</f>
        <v>9</v>
      </c>
      <c r="G95" s="86"/>
      <c r="H95" s="80"/>
      <c r="I95" s="80"/>
      <c r="J95" s="272"/>
      <c r="K95" s="86"/>
      <c r="L95" s="86"/>
      <c r="M95" s="80"/>
      <c r="N95" s="80"/>
      <c r="O95" s="80"/>
      <c r="P95" s="80"/>
      <c r="Q95" s="163"/>
      <c r="AMA95"/>
      <c r="AMB95"/>
      <c r="AMC95"/>
      <c r="AMD95"/>
      <c r="AME95"/>
      <c r="AMF95"/>
      <c r="AMG95"/>
      <c r="AMH95"/>
      <c r="AMI95"/>
      <c r="AMJ95"/>
    </row>
    <row r="96" spans="1:1024" s="25" customFormat="1" ht="33.75" x14ac:dyDescent="0.25">
      <c r="A96" s="85">
        <v>2</v>
      </c>
      <c r="B96" s="85"/>
      <c r="C96" s="36" t="s">
        <v>502</v>
      </c>
      <c r="D96" s="85" t="s">
        <v>426</v>
      </c>
      <c r="E96" s="85">
        <v>1</v>
      </c>
      <c r="F96" s="33">
        <f t="shared" si="2"/>
        <v>9</v>
      </c>
      <c r="G96" s="86"/>
      <c r="H96" s="80"/>
      <c r="I96" s="80"/>
      <c r="J96" s="272"/>
      <c r="K96" s="86"/>
      <c r="L96" s="86"/>
      <c r="M96" s="80"/>
      <c r="N96" s="80"/>
      <c r="O96" s="80"/>
      <c r="P96" s="80"/>
      <c r="Q96" s="163"/>
      <c r="AMA96"/>
      <c r="AMB96"/>
      <c r="AMC96"/>
      <c r="AMD96"/>
      <c r="AME96"/>
      <c r="AMF96"/>
      <c r="AMG96"/>
      <c r="AMH96"/>
      <c r="AMI96"/>
      <c r="AMJ96"/>
    </row>
    <row r="97" spans="1:1024" s="25" customFormat="1" ht="33.75" x14ac:dyDescent="0.25">
      <c r="A97" s="85">
        <v>3</v>
      </c>
      <c r="B97" s="85"/>
      <c r="C97" s="36" t="s">
        <v>503</v>
      </c>
      <c r="D97" s="85" t="s">
        <v>426</v>
      </c>
      <c r="E97" s="85">
        <v>1</v>
      </c>
      <c r="F97" s="33">
        <f t="shared" si="2"/>
        <v>9</v>
      </c>
      <c r="G97" s="86"/>
      <c r="H97" s="80"/>
      <c r="I97" s="80"/>
      <c r="J97" s="272"/>
      <c r="K97" s="86"/>
      <c r="L97" s="86"/>
      <c r="M97" s="80"/>
      <c r="N97" s="80"/>
      <c r="O97" s="80"/>
      <c r="P97" s="80"/>
      <c r="Q97" s="163"/>
      <c r="AMA97"/>
      <c r="AMB97"/>
      <c r="AMC97"/>
      <c r="AMD97"/>
      <c r="AME97"/>
      <c r="AMF97"/>
      <c r="AMG97"/>
      <c r="AMH97"/>
      <c r="AMI97"/>
      <c r="AMJ97"/>
    </row>
    <row r="98" spans="1:1024" s="25" customFormat="1" ht="33.75" x14ac:dyDescent="0.25">
      <c r="A98" s="85">
        <v>4</v>
      </c>
      <c r="B98" s="85"/>
      <c r="C98" s="36" t="s">
        <v>504</v>
      </c>
      <c r="D98" s="85" t="s">
        <v>426</v>
      </c>
      <c r="E98" s="85">
        <v>2</v>
      </c>
      <c r="F98" s="33">
        <f t="shared" si="2"/>
        <v>18</v>
      </c>
      <c r="G98" s="86"/>
      <c r="H98" s="80"/>
      <c r="I98" s="80"/>
      <c r="J98" s="272"/>
      <c r="K98" s="86"/>
      <c r="L98" s="86"/>
      <c r="M98" s="80"/>
      <c r="N98" s="80"/>
      <c r="O98" s="80"/>
      <c r="P98" s="80"/>
      <c r="Q98" s="163"/>
      <c r="AMA98"/>
      <c r="AMB98"/>
      <c r="AMC98"/>
      <c r="AMD98"/>
      <c r="AME98"/>
      <c r="AMF98"/>
      <c r="AMG98"/>
      <c r="AMH98"/>
      <c r="AMI98"/>
      <c r="AMJ98"/>
    </row>
    <row r="99" spans="1:1024" s="25" customFormat="1" ht="33.75" x14ac:dyDescent="0.25">
      <c r="A99" s="85">
        <v>5</v>
      </c>
      <c r="B99" s="85"/>
      <c r="C99" s="36" t="s">
        <v>505</v>
      </c>
      <c r="D99" s="85" t="s">
        <v>426</v>
      </c>
      <c r="E99" s="85">
        <v>4</v>
      </c>
      <c r="F99" s="33">
        <f t="shared" si="2"/>
        <v>36</v>
      </c>
      <c r="G99" s="86"/>
      <c r="H99" s="80"/>
      <c r="I99" s="80"/>
      <c r="J99" s="272"/>
      <c r="K99" s="86"/>
      <c r="L99" s="86"/>
      <c r="M99" s="80"/>
      <c r="N99" s="80"/>
      <c r="O99" s="80"/>
      <c r="P99" s="80"/>
      <c r="Q99" s="163"/>
      <c r="AMA99"/>
      <c r="AMB99"/>
      <c r="AMC99"/>
      <c r="AMD99"/>
      <c r="AME99"/>
      <c r="AMF99"/>
      <c r="AMG99"/>
      <c r="AMH99"/>
      <c r="AMI99"/>
      <c r="AMJ99"/>
    </row>
    <row r="100" spans="1:1024" s="25" customFormat="1" ht="33.75" x14ac:dyDescent="0.25">
      <c r="A100" s="85">
        <v>6</v>
      </c>
      <c r="B100" s="85"/>
      <c r="C100" s="36" t="s">
        <v>506</v>
      </c>
      <c r="D100" s="85" t="s">
        <v>77</v>
      </c>
      <c r="E100" s="85">
        <v>4</v>
      </c>
      <c r="F100" s="33">
        <f t="shared" si="2"/>
        <v>36</v>
      </c>
      <c r="G100" s="86"/>
      <c r="H100" s="80"/>
      <c r="I100" s="80"/>
      <c r="J100" s="272"/>
      <c r="K100" s="86"/>
      <c r="L100" s="86"/>
      <c r="M100" s="80"/>
      <c r="N100" s="80"/>
      <c r="O100" s="80"/>
      <c r="P100" s="80"/>
      <c r="Q100" s="163"/>
      <c r="AMA100"/>
      <c r="AMB100"/>
      <c r="AMC100"/>
      <c r="AMD100"/>
      <c r="AME100"/>
      <c r="AMF100"/>
      <c r="AMG100"/>
      <c r="AMH100"/>
      <c r="AMI100"/>
      <c r="AMJ100"/>
    </row>
    <row r="101" spans="1:1024" s="23" customFormat="1" ht="22.5" x14ac:dyDescent="0.25">
      <c r="A101" s="85">
        <v>7</v>
      </c>
      <c r="B101" s="85"/>
      <c r="C101" s="36" t="s">
        <v>507</v>
      </c>
      <c r="D101" s="85" t="s">
        <v>54</v>
      </c>
      <c r="E101" s="85">
        <v>60</v>
      </c>
      <c r="F101" s="33">
        <f t="shared" si="2"/>
        <v>540</v>
      </c>
      <c r="G101" s="86"/>
      <c r="H101" s="80"/>
      <c r="I101" s="80"/>
      <c r="J101" s="272"/>
      <c r="K101" s="86"/>
      <c r="L101" s="86"/>
      <c r="M101" s="80"/>
      <c r="N101" s="80"/>
      <c r="O101" s="80"/>
      <c r="P101" s="80"/>
      <c r="Q101" s="163"/>
    </row>
    <row r="102" spans="1:1024" s="25" customFormat="1" x14ac:dyDescent="0.25">
      <c r="A102" s="85">
        <v>8</v>
      </c>
      <c r="B102" s="85"/>
      <c r="C102" s="36" t="s">
        <v>508</v>
      </c>
      <c r="D102" s="85" t="s">
        <v>77</v>
      </c>
      <c r="E102" s="85">
        <v>20</v>
      </c>
      <c r="F102" s="33">
        <f t="shared" si="2"/>
        <v>180</v>
      </c>
      <c r="G102" s="86"/>
      <c r="H102" s="80"/>
      <c r="I102" s="80"/>
      <c r="J102" s="272"/>
      <c r="K102" s="86"/>
      <c r="L102" s="86"/>
      <c r="M102" s="80"/>
      <c r="N102" s="80"/>
      <c r="O102" s="80"/>
      <c r="P102" s="80"/>
      <c r="Q102" s="163"/>
      <c r="AMA102"/>
      <c r="AMB102"/>
      <c r="AMC102"/>
      <c r="AMD102"/>
      <c r="AME102"/>
      <c r="AMF102"/>
      <c r="AMG102"/>
      <c r="AMH102"/>
      <c r="AMI102"/>
      <c r="AMJ102"/>
    </row>
    <row r="103" spans="1:1024" s="25" customFormat="1" x14ac:dyDescent="0.25">
      <c r="A103" s="85">
        <v>9</v>
      </c>
      <c r="B103" s="85"/>
      <c r="C103" s="36" t="s">
        <v>509</v>
      </c>
      <c r="D103" s="85" t="s">
        <v>77</v>
      </c>
      <c r="E103" s="85">
        <v>6</v>
      </c>
      <c r="F103" s="33">
        <f t="shared" si="2"/>
        <v>54</v>
      </c>
      <c r="G103" s="86"/>
      <c r="H103" s="80"/>
      <c r="I103" s="80"/>
      <c r="J103" s="272"/>
      <c r="K103" s="86"/>
      <c r="L103" s="86"/>
      <c r="M103" s="80"/>
      <c r="N103" s="80"/>
      <c r="O103" s="80"/>
      <c r="P103" s="80"/>
      <c r="Q103" s="163"/>
      <c r="AMA103"/>
      <c r="AMB103"/>
      <c r="AMC103"/>
      <c r="AMD103"/>
      <c r="AME103"/>
      <c r="AMF103"/>
      <c r="AMG103"/>
      <c r="AMH103"/>
      <c r="AMI103"/>
      <c r="AMJ103"/>
    </row>
    <row r="104" spans="1:1024" s="25" customFormat="1" x14ac:dyDescent="0.25">
      <c r="A104" s="85">
        <v>10</v>
      </c>
      <c r="B104" s="85"/>
      <c r="C104" s="36" t="s">
        <v>510</v>
      </c>
      <c r="D104" s="85" t="s">
        <v>77</v>
      </c>
      <c r="E104" s="85">
        <v>2</v>
      </c>
      <c r="F104" s="33">
        <f t="shared" si="2"/>
        <v>18</v>
      </c>
      <c r="G104" s="86"/>
      <c r="H104" s="80"/>
      <c r="I104" s="80"/>
      <c r="J104" s="272"/>
      <c r="K104" s="86"/>
      <c r="L104" s="86"/>
      <c r="M104" s="80"/>
      <c r="N104" s="80"/>
      <c r="O104" s="80"/>
      <c r="P104" s="80"/>
      <c r="Q104" s="163"/>
      <c r="AMA104"/>
      <c r="AMB104"/>
      <c r="AMC104"/>
      <c r="AMD104"/>
      <c r="AME104"/>
      <c r="AMF104"/>
      <c r="AMG104"/>
      <c r="AMH104"/>
      <c r="AMI104"/>
      <c r="AMJ104"/>
    </row>
    <row r="105" spans="1:1024" s="25" customFormat="1" ht="22.5" x14ac:dyDescent="0.25">
      <c r="A105" s="85">
        <v>11</v>
      </c>
      <c r="B105" s="85"/>
      <c r="C105" s="36" t="s">
        <v>511</v>
      </c>
      <c r="D105" s="85" t="s">
        <v>54</v>
      </c>
      <c r="E105" s="85">
        <v>6</v>
      </c>
      <c r="F105" s="33">
        <f t="shared" si="2"/>
        <v>54</v>
      </c>
      <c r="G105" s="86"/>
      <c r="H105" s="80"/>
      <c r="I105" s="80"/>
      <c r="J105" s="267"/>
      <c r="K105" s="86"/>
      <c r="L105" s="86"/>
      <c r="M105" s="80"/>
      <c r="N105" s="80"/>
      <c r="O105" s="80"/>
      <c r="P105" s="80"/>
      <c r="Q105" s="163"/>
      <c r="AMA105"/>
      <c r="AMB105"/>
      <c r="AMC105"/>
      <c r="AMD105"/>
      <c r="AME105"/>
      <c r="AMF105"/>
      <c r="AMG105"/>
      <c r="AMH105"/>
      <c r="AMI105"/>
      <c r="AMJ105"/>
    </row>
    <row r="106" spans="1:1024" s="25" customFormat="1" ht="20.25" customHeight="1" x14ac:dyDescent="0.25">
      <c r="A106" s="85">
        <v>12</v>
      </c>
      <c r="B106" s="85"/>
      <c r="C106" s="36" t="s">
        <v>512</v>
      </c>
      <c r="D106" s="85" t="s">
        <v>77</v>
      </c>
      <c r="E106" s="85">
        <v>10</v>
      </c>
      <c r="F106" s="33">
        <f t="shared" si="2"/>
        <v>90</v>
      </c>
      <c r="G106" s="80"/>
      <c r="H106" s="80"/>
      <c r="I106" s="80"/>
      <c r="J106" s="272"/>
      <c r="K106" s="86"/>
      <c r="L106" s="86"/>
      <c r="M106" s="80"/>
      <c r="N106" s="80"/>
      <c r="O106" s="80"/>
      <c r="P106" s="80"/>
      <c r="Q106" s="163"/>
      <c r="AMA106"/>
      <c r="AMB106"/>
      <c r="AMC106"/>
      <c r="AMD106"/>
      <c r="AME106"/>
      <c r="AMF106"/>
      <c r="AMG106"/>
      <c r="AMH106"/>
      <c r="AMI106"/>
      <c r="AMJ106"/>
    </row>
    <row r="107" spans="1:1024" s="25" customFormat="1" x14ac:dyDescent="0.25">
      <c r="A107" s="85">
        <v>13</v>
      </c>
      <c r="B107" s="85"/>
      <c r="C107" s="36" t="s">
        <v>483</v>
      </c>
      <c r="D107" s="85" t="s">
        <v>426</v>
      </c>
      <c r="E107" s="85">
        <v>1</v>
      </c>
      <c r="F107" s="33">
        <f t="shared" si="2"/>
        <v>9</v>
      </c>
      <c r="G107" s="86"/>
      <c r="H107" s="80"/>
      <c r="I107" s="80"/>
      <c r="J107" s="272"/>
      <c r="K107" s="86"/>
      <c r="L107" s="86"/>
      <c r="M107" s="80"/>
      <c r="N107" s="80"/>
      <c r="O107" s="80"/>
      <c r="P107" s="80"/>
      <c r="Q107" s="163"/>
      <c r="AMA107"/>
      <c r="AMB107"/>
      <c r="AMC107"/>
      <c r="AMD107"/>
      <c r="AME107"/>
      <c r="AMF107"/>
      <c r="AMG107"/>
      <c r="AMH107"/>
      <c r="AMI107"/>
      <c r="AMJ107"/>
    </row>
    <row r="108" spans="1:1024" s="25" customFormat="1" x14ac:dyDescent="0.25">
      <c r="A108" s="85">
        <v>14</v>
      </c>
      <c r="B108" s="85"/>
      <c r="C108" s="36" t="s">
        <v>513</v>
      </c>
      <c r="D108" s="85" t="s">
        <v>426</v>
      </c>
      <c r="E108" s="85">
        <v>1</v>
      </c>
      <c r="F108" s="33">
        <f t="shared" si="2"/>
        <v>9</v>
      </c>
      <c r="G108" s="86"/>
      <c r="H108" s="80"/>
      <c r="I108" s="80"/>
      <c r="J108" s="272"/>
      <c r="K108" s="86"/>
      <c r="L108" s="86"/>
      <c r="M108" s="80"/>
      <c r="N108" s="80"/>
      <c r="O108" s="80"/>
      <c r="P108" s="80"/>
      <c r="Q108" s="163"/>
      <c r="AMA108"/>
      <c r="AMB108"/>
      <c r="AMC108"/>
      <c r="AMD108"/>
      <c r="AME108"/>
      <c r="AMF108"/>
      <c r="AMG108"/>
      <c r="AMH108"/>
      <c r="AMI108"/>
      <c r="AMJ108"/>
    </row>
    <row r="109" spans="1:1024" s="25" customFormat="1" ht="22.5" x14ac:dyDescent="0.25">
      <c r="A109" s="85">
        <v>15</v>
      </c>
      <c r="B109" s="85"/>
      <c r="C109" s="36" t="s">
        <v>487</v>
      </c>
      <c r="D109" s="85" t="s">
        <v>426</v>
      </c>
      <c r="E109" s="85">
        <v>1</v>
      </c>
      <c r="F109" s="33">
        <f t="shared" si="2"/>
        <v>9</v>
      </c>
      <c r="G109" s="86"/>
      <c r="H109" s="80"/>
      <c r="I109" s="80"/>
      <c r="J109" s="272"/>
      <c r="K109" s="86"/>
      <c r="L109" s="86"/>
      <c r="M109" s="80"/>
      <c r="N109" s="80"/>
      <c r="O109" s="80"/>
      <c r="P109" s="80"/>
      <c r="Q109" s="163"/>
      <c r="AMA109"/>
      <c r="AMB109"/>
      <c r="AMC109"/>
      <c r="AMD109"/>
      <c r="AME109"/>
      <c r="AMF109"/>
      <c r="AMG109"/>
      <c r="AMH109"/>
      <c r="AMI109"/>
      <c r="AMJ109"/>
    </row>
    <row r="110" spans="1:1024" s="25" customFormat="1" ht="22.5" x14ac:dyDescent="0.25">
      <c r="A110" s="85"/>
      <c r="B110" s="268"/>
      <c r="C110" s="274" t="s">
        <v>514</v>
      </c>
      <c r="D110" s="268"/>
      <c r="E110" s="268"/>
      <c r="F110" s="33"/>
      <c r="G110" s="27"/>
      <c r="H110" s="80"/>
      <c r="I110" s="80"/>
      <c r="J110" s="27"/>
      <c r="K110" s="27"/>
      <c r="L110" s="27"/>
      <c r="M110" s="27"/>
      <c r="N110" s="27"/>
      <c r="O110" s="27"/>
      <c r="P110" s="27"/>
      <c r="Q110" s="27"/>
      <c r="AMA110"/>
      <c r="AMB110"/>
      <c r="AMC110"/>
      <c r="AMD110"/>
      <c r="AME110"/>
      <c r="AMF110"/>
      <c r="AMG110"/>
      <c r="AMH110"/>
      <c r="AMI110"/>
      <c r="AMJ110"/>
    </row>
    <row r="111" spans="1:1024" s="25" customFormat="1" hidden="1" x14ac:dyDescent="0.25">
      <c r="A111" s="275"/>
      <c r="B111" s="275"/>
      <c r="C111" s="33" t="s">
        <v>515</v>
      </c>
      <c r="D111" s="85"/>
      <c r="E111" s="85"/>
      <c r="F111" s="33"/>
      <c r="G111" s="27"/>
      <c r="H111" s="80"/>
      <c r="I111" s="80"/>
      <c r="J111" s="27"/>
      <c r="K111" s="27"/>
      <c r="L111" s="27"/>
      <c r="M111" s="27"/>
      <c r="N111" s="27"/>
      <c r="O111" s="27"/>
      <c r="P111" s="27"/>
      <c r="Q111" s="27"/>
      <c r="AMA111"/>
      <c r="AMB111"/>
      <c r="AMC111"/>
      <c r="AMD111"/>
      <c r="AME111"/>
      <c r="AMF111"/>
      <c r="AMG111"/>
      <c r="AMH111"/>
      <c r="AMI111"/>
      <c r="AMJ111"/>
    </row>
    <row r="112" spans="1:1024" s="25" customFormat="1" x14ac:dyDescent="0.25">
      <c r="A112" s="85">
        <v>1</v>
      </c>
      <c r="B112" s="85"/>
      <c r="C112" s="234" t="s">
        <v>425</v>
      </c>
      <c r="D112" s="85" t="s">
        <v>426</v>
      </c>
      <c r="E112" s="85">
        <v>1</v>
      </c>
      <c r="F112" s="33">
        <f t="shared" ref="F112:F125" si="3">E112*18</f>
        <v>18</v>
      </c>
      <c r="G112" s="86"/>
      <c r="H112" s="80"/>
      <c r="I112" s="80"/>
      <c r="J112" s="272"/>
      <c r="K112" s="86"/>
      <c r="L112" s="86"/>
      <c r="M112" s="80"/>
      <c r="N112" s="80"/>
      <c r="O112" s="80"/>
      <c r="P112" s="80"/>
      <c r="Q112" s="163"/>
      <c r="AMA112"/>
      <c r="AMB112"/>
      <c r="AMC112"/>
      <c r="AMD112"/>
      <c r="AME112"/>
      <c r="AMF112"/>
      <c r="AMG112"/>
      <c r="AMH112"/>
      <c r="AMI112"/>
      <c r="AMJ112"/>
    </row>
    <row r="113" spans="1:1024" s="25" customFormat="1" ht="33.75" x14ac:dyDescent="0.25">
      <c r="A113" s="85">
        <v>2</v>
      </c>
      <c r="B113" s="85"/>
      <c r="C113" s="36" t="s">
        <v>503</v>
      </c>
      <c r="D113" s="85" t="s">
        <v>426</v>
      </c>
      <c r="E113" s="85">
        <v>1</v>
      </c>
      <c r="F113" s="33">
        <f t="shared" si="3"/>
        <v>18</v>
      </c>
      <c r="G113" s="86"/>
      <c r="H113" s="80"/>
      <c r="I113" s="80"/>
      <c r="J113" s="272"/>
      <c r="K113" s="86"/>
      <c r="L113" s="86"/>
      <c r="M113" s="80"/>
      <c r="N113" s="80"/>
      <c r="O113" s="80"/>
      <c r="P113" s="80"/>
      <c r="Q113" s="163"/>
      <c r="AMA113"/>
      <c r="AMB113"/>
      <c r="AMC113"/>
      <c r="AMD113"/>
      <c r="AME113"/>
      <c r="AMF113"/>
      <c r="AMG113"/>
      <c r="AMH113"/>
      <c r="AMI113"/>
      <c r="AMJ113"/>
    </row>
    <row r="114" spans="1:1024" s="25" customFormat="1" ht="33.75" x14ac:dyDescent="0.25">
      <c r="A114" s="85">
        <v>3</v>
      </c>
      <c r="B114" s="85"/>
      <c r="C114" s="36" t="s">
        <v>516</v>
      </c>
      <c r="D114" s="85" t="s">
        <v>426</v>
      </c>
      <c r="E114" s="85">
        <v>1</v>
      </c>
      <c r="F114" s="33">
        <f t="shared" si="3"/>
        <v>18</v>
      </c>
      <c r="G114" s="86"/>
      <c r="H114" s="80"/>
      <c r="I114" s="80"/>
      <c r="J114" s="272"/>
      <c r="K114" s="86"/>
      <c r="L114" s="86"/>
      <c r="M114" s="80"/>
      <c r="N114" s="80"/>
      <c r="O114" s="80"/>
      <c r="P114" s="80"/>
      <c r="Q114" s="163"/>
      <c r="AMA114"/>
      <c r="AMB114"/>
      <c r="AMC114"/>
      <c r="AMD114"/>
      <c r="AME114"/>
      <c r="AMF114"/>
      <c r="AMG114"/>
      <c r="AMH114"/>
      <c r="AMI114"/>
      <c r="AMJ114"/>
    </row>
    <row r="115" spans="1:1024" s="25" customFormat="1" ht="33.75" x14ac:dyDescent="0.25">
      <c r="A115" s="85">
        <v>4</v>
      </c>
      <c r="B115" s="85"/>
      <c r="C115" s="36" t="s">
        <v>505</v>
      </c>
      <c r="D115" s="85" t="s">
        <v>426</v>
      </c>
      <c r="E115" s="85">
        <v>2</v>
      </c>
      <c r="F115" s="33">
        <f t="shared" si="3"/>
        <v>36</v>
      </c>
      <c r="G115" s="86"/>
      <c r="H115" s="80"/>
      <c r="I115" s="80"/>
      <c r="J115" s="272"/>
      <c r="K115" s="86"/>
      <c r="L115" s="86"/>
      <c r="M115" s="80"/>
      <c r="N115" s="80"/>
      <c r="O115" s="80"/>
      <c r="P115" s="80"/>
      <c r="Q115" s="163"/>
      <c r="AMA115"/>
      <c r="AMB115"/>
      <c r="AMC115"/>
      <c r="AMD115"/>
      <c r="AME115"/>
      <c r="AMF115"/>
      <c r="AMG115"/>
      <c r="AMH115"/>
      <c r="AMI115"/>
      <c r="AMJ115"/>
    </row>
    <row r="116" spans="1:1024" s="23" customFormat="1" ht="33.75" x14ac:dyDescent="0.25">
      <c r="A116" s="85">
        <v>5</v>
      </c>
      <c r="B116" s="85"/>
      <c r="C116" s="36" t="s">
        <v>506</v>
      </c>
      <c r="D116" s="85" t="s">
        <v>77</v>
      </c>
      <c r="E116" s="85">
        <v>2</v>
      </c>
      <c r="F116" s="33">
        <f t="shared" si="3"/>
        <v>36</v>
      </c>
      <c r="G116" s="86"/>
      <c r="H116" s="80"/>
      <c r="I116" s="80"/>
      <c r="J116" s="272"/>
      <c r="K116" s="86"/>
      <c r="L116" s="86"/>
      <c r="M116" s="80"/>
      <c r="N116" s="80"/>
      <c r="O116" s="80"/>
      <c r="P116" s="80"/>
      <c r="Q116" s="163"/>
    </row>
    <row r="117" spans="1:1024" s="25" customFormat="1" ht="22.5" x14ac:dyDescent="0.25">
      <c r="A117" s="85">
        <v>6</v>
      </c>
      <c r="B117" s="85"/>
      <c r="C117" s="36" t="s">
        <v>507</v>
      </c>
      <c r="D117" s="85" t="s">
        <v>54</v>
      </c>
      <c r="E117" s="85">
        <v>42</v>
      </c>
      <c r="F117" s="33">
        <f t="shared" si="3"/>
        <v>756</v>
      </c>
      <c r="G117" s="86"/>
      <c r="H117" s="80"/>
      <c r="I117" s="80"/>
      <c r="J117" s="272"/>
      <c r="K117" s="86"/>
      <c r="L117" s="86"/>
      <c r="M117" s="80"/>
      <c r="N117" s="80"/>
      <c r="O117" s="80"/>
      <c r="P117" s="80"/>
      <c r="Q117" s="163"/>
      <c r="AMA117"/>
      <c r="AMB117"/>
      <c r="AMC117"/>
      <c r="AMD117"/>
      <c r="AME117"/>
      <c r="AMF117"/>
      <c r="AMG117"/>
      <c r="AMH117"/>
      <c r="AMI117"/>
      <c r="AMJ117"/>
    </row>
    <row r="118" spans="1:1024" s="25" customFormat="1" x14ac:dyDescent="0.25">
      <c r="A118" s="85">
        <v>7</v>
      </c>
      <c r="B118" s="85"/>
      <c r="C118" s="36" t="s">
        <v>508</v>
      </c>
      <c r="D118" s="85" t="s">
        <v>77</v>
      </c>
      <c r="E118" s="85">
        <v>20</v>
      </c>
      <c r="F118" s="33">
        <f t="shared" si="3"/>
        <v>360</v>
      </c>
      <c r="G118" s="86"/>
      <c r="H118" s="80"/>
      <c r="I118" s="80"/>
      <c r="J118" s="272"/>
      <c r="K118" s="86"/>
      <c r="L118" s="86"/>
      <c r="M118" s="80"/>
      <c r="N118" s="80"/>
      <c r="O118" s="80"/>
      <c r="P118" s="80"/>
      <c r="Q118" s="163"/>
      <c r="AMA118"/>
      <c r="AMB118"/>
      <c r="AMC118"/>
      <c r="AMD118"/>
      <c r="AME118"/>
      <c r="AMF118"/>
      <c r="AMG118"/>
      <c r="AMH118"/>
      <c r="AMI118"/>
      <c r="AMJ118"/>
    </row>
    <row r="119" spans="1:1024" s="25" customFormat="1" x14ac:dyDescent="0.25">
      <c r="A119" s="85">
        <v>8</v>
      </c>
      <c r="B119" s="85"/>
      <c r="C119" s="36" t="s">
        <v>509</v>
      </c>
      <c r="D119" s="85" t="s">
        <v>77</v>
      </c>
      <c r="E119" s="85">
        <v>2</v>
      </c>
      <c r="F119" s="33">
        <f t="shared" si="3"/>
        <v>36</v>
      </c>
      <c r="G119" s="86"/>
      <c r="H119" s="80"/>
      <c r="I119" s="80"/>
      <c r="J119" s="272"/>
      <c r="K119" s="86"/>
      <c r="L119" s="86"/>
      <c r="M119" s="80"/>
      <c r="N119" s="80"/>
      <c r="O119" s="80"/>
      <c r="P119" s="80"/>
      <c r="Q119" s="163"/>
      <c r="AMA119"/>
      <c r="AMB119"/>
      <c r="AMC119"/>
      <c r="AMD119"/>
      <c r="AME119"/>
      <c r="AMF119"/>
      <c r="AMG119"/>
      <c r="AMH119"/>
      <c r="AMI119"/>
      <c r="AMJ119"/>
    </row>
    <row r="120" spans="1:1024" s="25" customFormat="1" x14ac:dyDescent="0.25">
      <c r="A120" s="85">
        <v>9</v>
      </c>
      <c r="B120" s="85"/>
      <c r="C120" s="36" t="s">
        <v>510</v>
      </c>
      <c r="D120" s="85" t="s">
        <v>77</v>
      </c>
      <c r="E120" s="85">
        <v>2</v>
      </c>
      <c r="F120" s="33">
        <f t="shared" si="3"/>
        <v>36</v>
      </c>
      <c r="G120" s="86"/>
      <c r="H120" s="80"/>
      <c r="I120" s="80"/>
      <c r="J120" s="272"/>
      <c r="K120" s="86"/>
      <c r="L120" s="86"/>
      <c r="M120" s="80"/>
      <c r="N120" s="80"/>
      <c r="O120" s="80"/>
      <c r="P120" s="80"/>
      <c r="Q120" s="163"/>
      <c r="AMA120"/>
      <c r="AMB120"/>
      <c r="AMC120"/>
      <c r="AMD120"/>
      <c r="AME120"/>
      <c r="AMF120"/>
      <c r="AMG120"/>
      <c r="AMH120"/>
      <c r="AMI120"/>
      <c r="AMJ120"/>
    </row>
    <row r="121" spans="1:1024" s="25" customFormat="1" ht="22.5" x14ac:dyDescent="0.25">
      <c r="A121" s="85">
        <v>10</v>
      </c>
      <c r="B121" s="85"/>
      <c r="C121" s="36" t="s">
        <v>511</v>
      </c>
      <c r="D121" s="85" t="s">
        <v>54</v>
      </c>
      <c r="E121" s="85">
        <v>20</v>
      </c>
      <c r="F121" s="33">
        <f t="shared" si="3"/>
        <v>360</v>
      </c>
      <c r="G121" s="86"/>
      <c r="H121" s="80"/>
      <c r="I121" s="80"/>
      <c r="J121" s="267"/>
      <c r="K121" s="86"/>
      <c r="L121" s="86"/>
      <c r="M121" s="80"/>
      <c r="N121" s="80"/>
      <c r="O121" s="80"/>
      <c r="P121" s="80"/>
      <c r="Q121" s="163"/>
      <c r="AMA121"/>
      <c r="AMB121"/>
      <c r="AMC121"/>
      <c r="AMD121"/>
      <c r="AME121"/>
      <c r="AMF121"/>
      <c r="AMG121"/>
      <c r="AMH121"/>
      <c r="AMI121"/>
      <c r="AMJ121"/>
    </row>
    <row r="122" spans="1:1024" s="25" customFormat="1" ht="22.5" x14ac:dyDescent="0.25">
      <c r="A122" s="85">
        <v>11</v>
      </c>
      <c r="B122" s="85"/>
      <c r="C122" s="36" t="s">
        <v>512</v>
      </c>
      <c r="D122" s="85" t="s">
        <v>77</v>
      </c>
      <c r="E122" s="85">
        <v>10</v>
      </c>
      <c r="F122" s="33">
        <f t="shared" si="3"/>
        <v>180</v>
      </c>
      <c r="G122" s="80"/>
      <c r="H122" s="80"/>
      <c r="I122" s="80"/>
      <c r="J122" s="272"/>
      <c r="K122" s="86"/>
      <c r="L122" s="86"/>
      <c r="M122" s="80"/>
      <c r="N122" s="80"/>
      <c r="O122" s="80"/>
      <c r="P122" s="80"/>
      <c r="Q122" s="163"/>
      <c r="AMA122"/>
      <c r="AMB122"/>
      <c r="AMC122"/>
      <c r="AMD122"/>
      <c r="AME122"/>
      <c r="AMF122"/>
      <c r="AMG122"/>
      <c r="AMH122"/>
      <c r="AMI122"/>
      <c r="AMJ122"/>
    </row>
    <row r="123" spans="1:1024" s="25" customFormat="1" x14ac:dyDescent="0.25">
      <c r="A123" s="85">
        <v>12</v>
      </c>
      <c r="B123" s="85"/>
      <c r="C123" s="36" t="s">
        <v>483</v>
      </c>
      <c r="D123" s="85" t="s">
        <v>426</v>
      </c>
      <c r="E123" s="85">
        <v>1</v>
      </c>
      <c r="F123" s="33">
        <f t="shared" si="3"/>
        <v>18</v>
      </c>
      <c r="G123" s="86"/>
      <c r="H123" s="80"/>
      <c r="I123" s="80"/>
      <c r="J123" s="272"/>
      <c r="K123" s="86"/>
      <c r="L123" s="86"/>
      <c r="M123" s="80"/>
      <c r="N123" s="80"/>
      <c r="O123" s="80"/>
      <c r="P123" s="80"/>
      <c r="Q123" s="163"/>
      <c r="AMA123"/>
      <c r="AMB123"/>
      <c r="AMC123"/>
      <c r="AMD123"/>
      <c r="AME123"/>
      <c r="AMF123"/>
      <c r="AMG123"/>
      <c r="AMH123"/>
      <c r="AMI123"/>
      <c r="AMJ123"/>
    </row>
    <row r="124" spans="1:1024" s="25" customFormat="1" x14ac:dyDescent="0.25">
      <c r="A124" s="85">
        <v>13</v>
      </c>
      <c r="B124" s="85"/>
      <c r="C124" s="36" t="s">
        <v>513</v>
      </c>
      <c r="D124" s="85" t="s">
        <v>426</v>
      </c>
      <c r="E124" s="85">
        <v>1</v>
      </c>
      <c r="F124" s="33">
        <f t="shared" si="3"/>
        <v>18</v>
      </c>
      <c r="G124" s="86"/>
      <c r="H124" s="80"/>
      <c r="I124" s="80"/>
      <c r="J124" s="272"/>
      <c r="K124" s="86"/>
      <c r="L124" s="86"/>
      <c r="M124" s="80"/>
      <c r="N124" s="80"/>
      <c r="O124" s="80"/>
      <c r="P124" s="80"/>
      <c r="Q124" s="163"/>
      <c r="AMA124"/>
      <c r="AMB124"/>
      <c r="AMC124"/>
      <c r="AMD124"/>
      <c r="AME124"/>
      <c r="AMF124"/>
      <c r="AMG124"/>
      <c r="AMH124"/>
      <c r="AMI124"/>
      <c r="AMJ124"/>
    </row>
    <row r="125" spans="1:1024" s="25" customFormat="1" ht="22.5" x14ac:dyDescent="0.25">
      <c r="A125" s="85">
        <v>14</v>
      </c>
      <c r="B125" s="85"/>
      <c r="C125" s="36" t="s">
        <v>487</v>
      </c>
      <c r="D125" s="85" t="s">
        <v>426</v>
      </c>
      <c r="E125" s="85">
        <v>1</v>
      </c>
      <c r="F125" s="33">
        <f t="shared" si="3"/>
        <v>18</v>
      </c>
      <c r="G125" s="86"/>
      <c r="H125" s="80"/>
      <c r="I125" s="80"/>
      <c r="J125" s="272"/>
      <c r="K125" s="86"/>
      <c r="L125" s="86"/>
      <c r="M125" s="80"/>
      <c r="N125" s="80"/>
      <c r="O125" s="80"/>
      <c r="P125" s="80"/>
      <c r="Q125" s="163"/>
      <c r="AMA125"/>
      <c r="AMB125"/>
      <c r="AMC125"/>
      <c r="AMD125"/>
      <c r="AME125"/>
      <c r="AMF125"/>
      <c r="AMG125"/>
      <c r="AMH125"/>
      <c r="AMI125"/>
      <c r="AMJ125"/>
    </row>
    <row r="126" spans="1:1024" s="25" customFormat="1" ht="22.5" x14ac:dyDescent="0.25">
      <c r="A126" s="85"/>
      <c r="B126" s="268"/>
      <c r="C126" s="274" t="s">
        <v>517</v>
      </c>
      <c r="D126" s="268"/>
      <c r="E126" s="268"/>
      <c r="F126" s="33"/>
      <c r="G126" s="86"/>
      <c r="H126" s="80"/>
      <c r="I126" s="80"/>
      <c r="J126" s="272"/>
      <c r="K126" s="86"/>
      <c r="L126" s="86"/>
      <c r="M126" s="80"/>
      <c r="N126" s="80"/>
      <c r="O126" s="80"/>
      <c r="P126" s="80"/>
      <c r="Q126" s="163"/>
      <c r="AMA126"/>
      <c r="AMB126"/>
      <c r="AMC126"/>
      <c r="AMD126"/>
      <c r="AME126"/>
      <c r="AMF126"/>
      <c r="AMG126"/>
      <c r="AMH126"/>
      <c r="AMI126"/>
      <c r="AMJ126"/>
    </row>
    <row r="127" spans="1:1024" s="25" customFormat="1" hidden="1" x14ac:dyDescent="0.25">
      <c r="A127" s="275"/>
      <c r="B127" s="275"/>
      <c r="C127" s="33" t="s">
        <v>515</v>
      </c>
      <c r="D127" s="85"/>
      <c r="E127" s="85"/>
      <c r="F127" s="33"/>
      <c r="G127" s="27"/>
      <c r="H127" s="80"/>
      <c r="I127" s="80"/>
      <c r="J127" s="27"/>
      <c r="K127" s="27"/>
      <c r="L127" s="27"/>
      <c r="M127" s="27"/>
      <c r="N127" s="27"/>
      <c r="O127" s="27"/>
      <c r="P127" s="27"/>
      <c r="Q127" s="27"/>
      <c r="AMA127"/>
      <c r="AMB127"/>
      <c r="AMC127"/>
      <c r="AMD127"/>
      <c r="AME127"/>
      <c r="AMF127"/>
      <c r="AMG127"/>
      <c r="AMH127"/>
      <c r="AMI127"/>
      <c r="AMJ127"/>
    </row>
    <row r="128" spans="1:1024" s="25" customFormat="1" x14ac:dyDescent="0.25">
      <c r="A128" s="85">
        <v>1</v>
      </c>
      <c r="B128" s="85"/>
      <c r="C128" s="234" t="s">
        <v>425</v>
      </c>
      <c r="D128" s="85" t="s">
        <v>426</v>
      </c>
      <c r="E128" s="85">
        <v>1</v>
      </c>
      <c r="F128" s="33">
        <f t="shared" ref="F128:F141" si="4">E128*18</f>
        <v>18</v>
      </c>
      <c r="G128" s="86"/>
      <c r="H128" s="80"/>
      <c r="I128" s="80"/>
      <c r="J128" s="272"/>
      <c r="K128" s="86"/>
      <c r="L128" s="86"/>
      <c r="M128" s="80"/>
      <c r="N128" s="80"/>
      <c r="O128" s="80"/>
      <c r="P128" s="80"/>
      <c r="Q128" s="163"/>
      <c r="AMA128"/>
      <c r="AMB128"/>
      <c r="AMC128"/>
      <c r="AMD128"/>
      <c r="AME128"/>
      <c r="AMF128"/>
      <c r="AMG128"/>
      <c r="AMH128"/>
      <c r="AMI128"/>
      <c r="AMJ128"/>
    </row>
    <row r="129" spans="1:1024" s="25" customFormat="1" ht="33.75" x14ac:dyDescent="0.25">
      <c r="A129" s="85">
        <v>2</v>
      </c>
      <c r="B129" s="85"/>
      <c r="C129" s="36" t="s">
        <v>503</v>
      </c>
      <c r="D129" s="85" t="s">
        <v>426</v>
      </c>
      <c r="E129" s="85">
        <v>2</v>
      </c>
      <c r="F129" s="33">
        <f t="shared" si="4"/>
        <v>36</v>
      </c>
      <c r="G129" s="86"/>
      <c r="H129" s="80"/>
      <c r="I129" s="80"/>
      <c r="J129" s="272"/>
      <c r="K129" s="86"/>
      <c r="L129" s="86"/>
      <c r="M129" s="80"/>
      <c r="N129" s="80"/>
      <c r="O129" s="80"/>
      <c r="P129" s="80"/>
      <c r="Q129" s="163"/>
      <c r="AMA129"/>
      <c r="AMB129"/>
      <c r="AMC129"/>
      <c r="AMD129"/>
      <c r="AME129"/>
      <c r="AMF129"/>
      <c r="AMG129"/>
      <c r="AMH129"/>
      <c r="AMI129"/>
      <c r="AMJ129"/>
    </row>
    <row r="130" spans="1:1024" s="25" customFormat="1" ht="33.75" x14ac:dyDescent="0.25">
      <c r="A130" s="85">
        <v>3</v>
      </c>
      <c r="B130" s="85"/>
      <c r="C130" s="36" t="s">
        <v>516</v>
      </c>
      <c r="D130" s="85" t="s">
        <v>426</v>
      </c>
      <c r="E130" s="85">
        <v>1</v>
      </c>
      <c r="F130" s="33">
        <f t="shared" si="4"/>
        <v>18</v>
      </c>
      <c r="G130" s="86"/>
      <c r="H130" s="80"/>
      <c r="I130" s="80"/>
      <c r="J130" s="272"/>
      <c r="K130" s="86"/>
      <c r="L130" s="86"/>
      <c r="M130" s="80"/>
      <c r="N130" s="80"/>
      <c r="O130" s="80"/>
      <c r="P130" s="80"/>
      <c r="Q130" s="163"/>
      <c r="AMA130"/>
      <c r="AMB130"/>
      <c r="AMC130"/>
      <c r="AMD130"/>
      <c r="AME130"/>
      <c r="AMF130"/>
      <c r="AMG130"/>
      <c r="AMH130"/>
      <c r="AMI130"/>
      <c r="AMJ130"/>
    </row>
    <row r="131" spans="1:1024" s="25" customFormat="1" ht="33.75" x14ac:dyDescent="0.25">
      <c r="A131" s="85">
        <v>4</v>
      </c>
      <c r="B131" s="85"/>
      <c r="C131" s="36" t="s">
        <v>505</v>
      </c>
      <c r="D131" s="85" t="s">
        <v>426</v>
      </c>
      <c r="E131" s="85">
        <v>3</v>
      </c>
      <c r="F131" s="33">
        <f t="shared" si="4"/>
        <v>54</v>
      </c>
      <c r="G131" s="86"/>
      <c r="H131" s="80"/>
      <c r="I131" s="80"/>
      <c r="J131" s="272"/>
      <c r="K131" s="86"/>
      <c r="L131" s="86"/>
      <c r="M131" s="80"/>
      <c r="N131" s="80"/>
      <c r="O131" s="80"/>
      <c r="P131" s="80"/>
      <c r="Q131" s="163"/>
      <c r="AMA131"/>
      <c r="AMB131"/>
      <c r="AMC131"/>
      <c r="AMD131"/>
      <c r="AME131"/>
      <c r="AMF131"/>
      <c r="AMG131"/>
      <c r="AMH131"/>
      <c r="AMI131"/>
      <c r="AMJ131"/>
    </row>
    <row r="132" spans="1:1024" s="25" customFormat="1" ht="33.75" x14ac:dyDescent="0.25">
      <c r="A132" s="85">
        <v>5</v>
      </c>
      <c r="B132" s="85"/>
      <c r="C132" s="36" t="s">
        <v>506</v>
      </c>
      <c r="D132" s="85" t="s">
        <v>77</v>
      </c>
      <c r="E132" s="85">
        <v>3</v>
      </c>
      <c r="F132" s="33">
        <f t="shared" si="4"/>
        <v>54</v>
      </c>
      <c r="G132" s="86"/>
      <c r="H132" s="80"/>
      <c r="I132" s="80"/>
      <c r="J132" s="272"/>
      <c r="K132" s="86"/>
      <c r="L132" s="86"/>
      <c r="M132" s="80"/>
      <c r="N132" s="80"/>
      <c r="O132" s="80"/>
      <c r="P132" s="80"/>
      <c r="Q132" s="163"/>
      <c r="AMA132"/>
      <c r="AMB132"/>
      <c r="AMC132"/>
      <c r="AMD132"/>
      <c r="AME132"/>
      <c r="AMF132"/>
      <c r="AMG132"/>
      <c r="AMH132"/>
      <c r="AMI132"/>
      <c r="AMJ132"/>
    </row>
    <row r="133" spans="1:1024" s="23" customFormat="1" ht="22.5" x14ac:dyDescent="0.25">
      <c r="A133" s="85">
        <v>6</v>
      </c>
      <c r="B133" s="85"/>
      <c r="C133" s="36" t="s">
        <v>507</v>
      </c>
      <c r="D133" s="85" t="s">
        <v>54</v>
      </c>
      <c r="E133" s="85">
        <v>42</v>
      </c>
      <c r="F133" s="33">
        <f t="shared" si="4"/>
        <v>756</v>
      </c>
      <c r="G133" s="86"/>
      <c r="H133" s="80"/>
      <c r="I133" s="80"/>
      <c r="J133" s="272"/>
      <c r="K133" s="86"/>
      <c r="L133" s="86"/>
      <c r="M133" s="80"/>
      <c r="N133" s="80"/>
      <c r="O133" s="80"/>
      <c r="P133" s="80"/>
      <c r="Q133" s="163"/>
    </row>
    <row r="134" spans="1:1024" x14ac:dyDescent="0.25">
      <c r="A134" s="85">
        <v>7</v>
      </c>
      <c r="B134" s="85"/>
      <c r="C134" s="36" t="s">
        <v>508</v>
      </c>
      <c r="D134" s="85" t="s">
        <v>77</v>
      </c>
      <c r="E134" s="85">
        <v>28</v>
      </c>
      <c r="F134" s="33">
        <f t="shared" si="4"/>
        <v>504</v>
      </c>
      <c r="G134" s="86"/>
      <c r="H134" s="80"/>
      <c r="I134" s="80"/>
      <c r="J134" s="272"/>
      <c r="K134" s="86"/>
      <c r="L134" s="86"/>
      <c r="M134" s="80"/>
      <c r="N134" s="80"/>
      <c r="O134" s="80"/>
      <c r="P134" s="80"/>
      <c r="Q134" s="163"/>
    </row>
    <row r="135" spans="1:1024" x14ac:dyDescent="0.25">
      <c r="A135" s="85">
        <v>8</v>
      </c>
      <c r="B135" s="85"/>
      <c r="C135" s="36" t="s">
        <v>509</v>
      </c>
      <c r="D135" s="85" t="s">
        <v>77</v>
      </c>
      <c r="E135" s="85">
        <v>4</v>
      </c>
      <c r="F135" s="33">
        <f t="shared" si="4"/>
        <v>72</v>
      </c>
      <c r="G135" s="86"/>
      <c r="H135" s="80"/>
      <c r="I135" s="80"/>
      <c r="J135" s="272"/>
      <c r="K135" s="86"/>
      <c r="L135" s="86"/>
      <c r="M135" s="80"/>
      <c r="N135" s="80"/>
      <c r="O135" s="80"/>
      <c r="P135" s="80"/>
      <c r="Q135" s="163"/>
    </row>
    <row r="136" spans="1:1024" x14ac:dyDescent="0.25">
      <c r="A136" s="85">
        <v>9</v>
      </c>
      <c r="B136" s="85"/>
      <c r="C136" s="36" t="s">
        <v>510</v>
      </c>
      <c r="D136" s="85" t="s">
        <v>77</v>
      </c>
      <c r="E136" s="85">
        <v>2</v>
      </c>
      <c r="F136" s="33">
        <f t="shared" si="4"/>
        <v>36</v>
      </c>
      <c r="G136" s="86"/>
      <c r="H136" s="80"/>
      <c r="I136" s="80"/>
      <c r="J136" s="272"/>
      <c r="K136" s="86"/>
      <c r="L136" s="86"/>
      <c r="M136" s="80"/>
      <c r="N136" s="80"/>
      <c r="O136" s="80"/>
      <c r="P136" s="80"/>
      <c r="Q136" s="163"/>
    </row>
    <row r="137" spans="1:1024" ht="22.5" x14ac:dyDescent="0.25">
      <c r="A137" s="85">
        <v>10</v>
      </c>
      <c r="B137" s="85"/>
      <c r="C137" s="36" t="s">
        <v>511</v>
      </c>
      <c r="D137" s="85" t="s">
        <v>54</v>
      </c>
      <c r="E137" s="85">
        <v>12</v>
      </c>
      <c r="F137" s="33">
        <f t="shared" si="4"/>
        <v>216</v>
      </c>
      <c r="G137" s="86"/>
      <c r="H137" s="80"/>
      <c r="I137" s="80"/>
      <c r="J137" s="267"/>
      <c r="K137" s="86"/>
      <c r="L137" s="86"/>
      <c r="M137" s="80"/>
      <c r="N137" s="80"/>
      <c r="O137" s="80"/>
      <c r="P137" s="80"/>
      <c r="Q137" s="163"/>
    </row>
    <row r="138" spans="1:1024" ht="22.5" x14ac:dyDescent="0.25">
      <c r="A138" s="85">
        <v>11</v>
      </c>
      <c r="B138" s="85"/>
      <c r="C138" s="36" t="s">
        <v>512</v>
      </c>
      <c r="D138" s="85" t="s">
        <v>77</v>
      </c>
      <c r="E138" s="85">
        <v>12</v>
      </c>
      <c r="F138" s="33">
        <f t="shared" si="4"/>
        <v>216</v>
      </c>
      <c r="G138" s="80"/>
      <c r="H138" s="80"/>
      <c r="I138" s="80"/>
      <c r="J138" s="272"/>
      <c r="K138" s="86"/>
      <c r="L138" s="86"/>
      <c r="M138" s="80"/>
      <c r="N138" s="80"/>
      <c r="O138" s="80"/>
      <c r="P138" s="80"/>
      <c r="Q138" s="163"/>
    </row>
    <row r="139" spans="1:1024" x14ac:dyDescent="0.25">
      <c r="A139" s="85">
        <v>12</v>
      </c>
      <c r="B139" s="85"/>
      <c r="C139" s="36" t="s">
        <v>483</v>
      </c>
      <c r="D139" s="85" t="s">
        <v>426</v>
      </c>
      <c r="E139" s="85">
        <v>1</v>
      </c>
      <c r="F139" s="33">
        <f t="shared" si="4"/>
        <v>18</v>
      </c>
      <c r="G139" s="86"/>
      <c r="H139" s="80"/>
      <c r="I139" s="80"/>
      <c r="J139" s="272"/>
      <c r="K139" s="86"/>
      <c r="L139" s="86"/>
      <c r="M139" s="80"/>
      <c r="N139" s="80"/>
      <c r="O139" s="80"/>
      <c r="P139" s="80"/>
      <c r="Q139" s="163"/>
    </row>
    <row r="140" spans="1:1024" x14ac:dyDescent="0.25">
      <c r="A140" s="85">
        <v>13</v>
      </c>
      <c r="B140" s="85"/>
      <c r="C140" s="36" t="s">
        <v>513</v>
      </c>
      <c r="D140" s="85" t="s">
        <v>426</v>
      </c>
      <c r="E140" s="85">
        <v>1</v>
      </c>
      <c r="F140" s="33">
        <f t="shared" si="4"/>
        <v>18</v>
      </c>
      <c r="G140" s="86"/>
      <c r="H140" s="80"/>
      <c r="I140" s="80"/>
      <c r="J140" s="272"/>
      <c r="K140" s="86"/>
      <c r="L140" s="86"/>
      <c r="M140" s="80"/>
      <c r="N140" s="80"/>
      <c r="O140" s="80"/>
      <c r="P140" s="80"/>
      <c r="Q140" s="163"/>
    </row>
    <row r="141" spans="1:1024" ht="22.5" x14ac:dyDescent="0.25">
      <c r="A141" s="85">
        <v>14</v>
      </c>
      <c r="B141" s="85"/>
      <c r="C141" s="36" t="s">
        <v>487</v>
      </c>
      <c r="D141" s="85" t="s">
        <v>426</v>
      </c>
      <c r="E141" s="85">
        <v>1</v>
      </c>
      <c r="F141" s="33">
        <f t="shared" si="4"/>
        <v>18</v>
      </c>
      <c r="G141" s="86"/>
      <c r="H141" s="80"/>
      <c r="I141" s="80"/>
      <c r="J141" s="272"/>
      <c r="K141" s="86"/>
      <c r="L141" s="86"/>
      <c r="M141" s="80"/>
      <c r="N141" s="80"/>
      <c r="O141" s="80"/>
      <c r="P141" s="80"/>
      <c r="Q141" s="163"/>
    </row>
    <row r="142" spans="1:1024" ht="22.5" x14ac:dyDescent="0.25">
      <c r="A142" s="85"/>
      <c r="B142" s="268"/>
      <c r="C142" s="274" t="s">
        <v>518</v>
      </c>
      <c r="D142" s="268"/>
      <c r="E142" s="268"/>
      <c r="F142" s="33"/>
      <c r="G142" s="27"/>
      <c r="H142" s="80"/>
      <c r="I142" s="80"/>
      <c r="J142" s="27"/>
      <c r="K142" s="27"/>
      <c r="L142" s="27"/>
      <c r="M142" s="27"/>
      <c r="N142" s="27"/>
      <c r="O142" s="27"/>
      <c r="P142" s="27"/>
      <c r="Q142" s="27"/>
    </row>
    <row r="143" spans="1:1024" hidden="1" x14ac:dyDescent="0.25">
      <c r="A143" s="275"/>
      <c r="B143" s="275"/>
      <c r="C143" s="33" t="s">
        <v>519</v>
      </c>
      <c r="D143" s="85"/>
      <c r="E143" s="85"/>
      <c r="F143" s="33"/>
      <c r="G143" s="27"/>
      <c r="H143" s="80"/>
      <c r="I143" s="80"/>
      <c r="J143" s="27"/>
      <c r="K143" s="27"/>
      <c r="L143" s="27"/>
      <c r="M143" s="27"/>
      <c r="N143" s="27"/>
      <c r="O143" s="27"/>
      <c r="P143" s="27"/>
      <c r="Q143" s="27"/>
    </row>
    <row r="144" spans="1:1024" x14ac:dyDescent="0.25">
      <c r="A144" s="85">
        <v>1</v>
      </c>
      <c r="B144" s="85"/>
      <c r="C144" s="234" t="s">
        <v>425</v>
      </c>
      <c r="D144" s="85" t="s">
        <v>426</v>
      </c>
      <c r="E144" s="85">
        <v>1</v>
      </c>
      <c r="F144" s="33">
        <f t="shared" ref="F144:F158" si="5">E144*27</f>
        <v>27</v>
      </c>
      <c r="G144" s="86"/>
      <c r="H144" s="80"/>
      <c r="I144" s="80"/>
      <c r="J144" s="272"/>
      <c r="K144" s="86"/>
      <c r="L144" s="86"/>
      <c r="M144" s="80"/>
      <c r="N144" s="80"/>
      <c r="O144" s="80"/>
      <c r="P144" s="80"/>
      <c r="Q144" s="163"/>
    </row>
    <row r="145" spans="1:17" ht="33.75" x14ac:dyDescent="0.25">
      <c r="A145" s="85">
        <v>2</v>
      </c>
      <c r="B145" s="85"/>
      <c r="C145" s="36" t="s">
        <v>503</v>
      </c>
      <c r="D145" s="85" t="s">
        <v>426</v>
      </c>
      <c r="E145" s="85">
        <v>2</v>
      </c>
      <c r="F145" s="33">
        <f t="shared" si="5"/>
        <v>54</v>
      </c>
      <c r="G145" s="86"/>
      <c r="H145" s="80"/>
      <c r="I145" s="80"/>
      <c r="J145" s="272"/>
      <c r="K145" s="86"/>
      <c r="L145" s="86"/>
      <c r="M145" s="80"/>
      <c r="N145" s="80"/>
      <c r="O145" s="80"/>
      <c r="P145" s="80"/>
      <c r="Q145" s="163"/>
    </row>
    <row r="146" spans="1:17" ht="33.75" x14ac:dyDescent="0.25">
      <c r="A146" s="85">
        <v>3</v>
      </c>
      <c r="B146" s="85"/>
      <c r="C146" s="36" t="s">
        <v>516</v>
      </c>
      <c r="D146" s="85" t="s">
        <v>426</v>
      </c>
      <c r="E146" s="85">
        <v>1</v>
      </c>
      <c r="F146" s="33">
        <f t="shared" si="5"/>
        <v>27</v>
      </c>
      <c r="G146" s="86"/>
      <c r="H146" s="80"/>
      <c r="I146" s="80"/>
      <c r="J146" s="272"/>
      <c r="K146" s="86"/>
      <c r="L146" s="86"/>
      <c r="M146" s="80"/>
      <c r="N146" s="80"/>
      <c r="O146" s="80"/>
      <c r="P146" s="80"/>
      <c r="Q146" s="163"/>
    </row>
    <row r="147" spans="1:17" ht="33.75" x14ac:dyDescent="0.25">
      <c r="A147" s="85">
        <v>4</v>
      </c>
      <c r="B147" s="85"/>
      <c r="C147" s="36" t="s">
        <v>520</v>
      </c>
      <c r="D147" s="85" t="s">
        <v>426</v>
      </c>
      <c r="E147" s="85">
        <v>1</v>
      </c>
      <c r="F147" s="33">
        <f t="shared" si="5"/>
        <v>27</v>
      </c>
      <c r="G147" s="86"/>
      <c r="H147" s="80"/>
      <c r="I147" s="80"/>
      <c r="J147" s="272"/>
      <c r="K147" s="86"/>
      <c r="L147" s="86"/>
      <c r="M147" s="80"/>
      <c r="N147" s="80"/>
      <c r="O147" s="80"/>
      <c r="P147" s="80"/>
      <c r="Q147" s="163"/>
    </row>
    <row r="148" spans="1:17" ht="33.75" x14ac:dyDescent="0.25">
      <c r="A148" s="85">
        <v>5</v>
      </c>
      <c r="B148" s="85"/>
      <c r="C148" s="36" t="s">
        <v>505</v>
      </c>
      <c r="D148" s="85" t="s">
        <v>426</v>
      </c>
      <c r="E148" s="85">
        <v>4</v>
      </c>
      <c r="F148" s="33">
        <f t="shared" si="5"/>
        <v>108</v>
      </c>
      <c r="G148" s="86"/>
      <c r="H148" s="80"/>
      <c r="I148" s="80"/>
      <c r="J148" s="272"/>
      <c r="K148" s="86"/>
      <c r="L148" s="86"/>
      <c r="M148" s="80"/>
      <c r="N148" s="80"/>
      <c r="O148" s="80"/>
      <c r="P148" s="80"/>
      <c r="Q148" s="163"/>
    </row>
    <row r="149" spans="1:17" ht="33.75" x14ac:dyDescent="0.25">
      <c r="A149" s="85">
        <v>6</v>
      </c>
      <c r="B149" s="85"/>
      <c r="C149" s="36" t="s">
        <v>506</v>
      </c>
      <c r="D149" s="85" t="s">
        <v>77</v>
      </c>
      <c r="E149" s="85">
        <v>4</v>
      </c>
      <c r="F149" s="33">
        <f t="shared" si="5"/>
        <v>108</v>
      </c>
      <c r="G149" s="86"/>
      <c r="H149" s="80"/>
      <c r="I149" s="80"/>
      <c r="J149" s="272"/>
      <c r="K149" s="86"/>
      <c r="L149" s="86"/>
      <c r="M149" s="80"/>
      <c r="N149" s="80"/>
      <c r="O149" s="80"/>
      <c r="P149" s="80"/>
      <c r="Q149" s="163"/>
    </row>
    <row r="150" spans="1:17" ht="22.5" x14ac:dyDescent="0.25">
      <c r="A150" s="85">
        <v>7</v>
      </c>
      <c r="B150" s="85"/>
      <c r="C150" s="36" t="s">
        <v>507</v>
      </c>
      <c r="D150" s="85" t="s">
        <v>54</v>
      </c>
      <c r="E150" s="85">
        <v>60</v>
      </c>
      <c r="F150" s="33">
        <f t="shared" si="5"/>
        <v>1620</v>
      </c>
      <c r="G150" s="86"/>
      <c r="H150" s="80"/>
      <c r="I150" s="80"/>
      <c r="J150" s="272"/>
      <c r="K150" s="86"/>
      <c r="L150" s="86"/>
      <c r="M150" s="80"/>
      <c r="N150" s="80"/>
      <c r="O150" s="80"/>
      <c r="P150" s="80"/>
      <c r="Q150" s="163"/>
    </row>
    <row r="151" spans="1:17" x14ac:dyDescent="0.25">
      <c r="A151" s="85">
        <v>8</v>
      </c>
      <c r="B151" s="85"/>
      <c r="C151" s="36" t="s">
        <v>508</v>
      </c>
      <c r="D151" s="85" t="s">
        <v>77</v>
      </c>
      <c r="E151" s="85">
        <v>12</v>
      </c>
      <c r="F151" s="33">
        <f t="shared" si="5"/>
        <v>324</v>
      </c>
      <c r="G151" s="86"/>
      <c r="H151" s="80"/>
      <c r="I151" s="80"/>
      <c r="J151" s="272"/>
      <c r="K151" s="86"/>
      <c r="L151" s="86"/>
      <c r="M151" s="80"/>
      <c r="N151" s="80"/>
      <c r="O151" s="80"/>
      <c r="P151" s="80"/>
      <c r="Q151" s="163"/>
    </row>
    <row r="152" spans="1:17" x14ac:dyDescent="0.25">
      <c r="A152" s="85">
        <v>9</v>
      </c>
      <c r="B152" s="85"/>
      <c r="C152" s="36" t="s">
        <v>509</v>
      </c>
      <c r="D152" s="85" t="s">
        <v>77</v>
      </c>
      <c r="E152" s="85">
        <v>8</v>
      </c>
      <c r="F152" s="33">
        <f t="shared" si="5"/>
        <v>216</v>
      </c>
      <c r="G152" s="86"/>
      <c r="H152" s="80"/>
      <c r="I152" s="80"/>
      <c r="J152" s="272"/>
      <c r="K152" s="86"/>
      <c r="L152" s="86"/>
      <c r="M152" s="80"/>
      <c r="N152" s="80"/>
      <c r="O152" s="80"/>
      <c r="P152" s="80"/>
      <c r="Q152" s="163"/>
    </row>
    <row r="153" spans="1:17" x14ac:dyDescent="0.25">
      <c r="A153" s="85">
        <v>10</v>
      </c>
      <c r="B153" s="85"/>
      <c r="C153" s="36" t="s">
        <v>510</v>
      </c>
      <c r="D153" s="85" t="s">
        <v>77</v>
      </c>
      <c r="E153" s="85">
        <v>2</v>
      </c>
      <c r="F153" s="33">
        <f t="shared" si="5"/>
        <v>54</v>
      </c>
      <c r="G153" s="86"/>
      <c r="H153" s="80"/>
      <c r="I153" s="80"/>
      <c r="J153" s="272"/>
      <c r="K153" s="86"/>
      <c r="L153" s="86"/>
      <c r="M153" s="80"/>
      <c r="N153" s="80"/>
      <c r="O153" s="80"/>
      <c r="P153" s="80"/>
      <c r="Q153" s="163"/>
    </row>
    <row r="154" spans="1:17" ht="20.25" customHeight="1" x14ac:dyDescent="0.25">
      <c r="A154" s="85">
        <v>11</v>
      </c>
      <c r="B154" s="85"/>
      <c r="C154" s="36" t="s">
        <v>511</v>
      </c>
      <c r="D154" s="85" t="s">
        <v>54</v>
      </c>
      <c r="E154" s="85">
        <v>6</v>
      </c>
      <c r="F154" s="33">
        <f t="shared" si="5"/>
        <v>162</v>
      </c>
      <c r="G154" s="86"/>
      <c r="H154" s="80"/>
      <c r="I154" s="80"/>
      <c r="J154" s="267"/>
      <c r="K154" s="86"/>
      <c r="L154" s="86"/>
      <c r="M154" s="80"/>
      <c r="N154" s="80"/>
      <c r="O154" s="80"/>
      <c r="P154" s="80"/>
      <c r="Q154" s="163"/>
    </row>
    <row r="155" spans="1:17" ht="22.5" x14ac:dyDescent="0.25">
      <c r="A155" s="85">
        <v>12</v>
      </c>
      <c r="B155" s="85"/>
      <c r="C155" s="36" t="s">
        <v>512</v>
      </c>
      <c r="D155" s="85" t="s">
        <v>77</v>
      </c>
      <c r="E155" s="85">
        <v>10</v>
      </c>
      <c r="F155" s="33">
        <f t="shared" si="5"/>
        <v>270</v>
      </c>
      <c r="G155" s="80"/>
      <c r="H155" s="80"/>
      <c r="I155" s="80"/>
      <c r="J155" s="272"/>
      <c r="K155" s="86"/>
      <c r="L155" s="86"/>
      <c r="M155" s="80"/>
      <c r="N155" s="80"/>
      <c r="O155" s="80"/>
      <c r="P155" s="80"/>
      <c r="Q155" s="163"/>
    </row>
    <row r="156" spans="1:17" x14ac:dyDescent="0.25">
      <c r="A156" s="85">
        <v>13</v>
      </c>
      <c r="B156" s="85"/>
      <c r="C156" s="36" t="s">
        <v>483</v>
      </c>
      <c r="D156" s="85" t="s">
        <v>426</v>
      </c>
      <c r="E156" s="85">
        <v>1</v>
      </c>
      <c r="F156" s="33">
        <f t="shared" si="5"/>
        <v>27</v>
      </c>
      <c r="G156" s="86"/>
      <c r="H156" s="80"/>
      <c r="I156" s="80"/>
      <c r="J156" s="272"/>
      <c r="K156" s="86"/>
      <c r="L156" s="86"/>
      <c r="M156" s="80"/>
      <c r="N156" s="80"/>
      <c r="O156" s="80"/>
      <c r="P156" s="80"/>
      <c r="Q156" s="163"/>
    </row>
    <row r="157" spans="1:17" x14ac:dyDescent="0.25">
      <c r="A157" s="85">
        <v>14</v>
      </c>
      <c r="B157" s="85"/>
      <c r="C157" s="36" t="s">
        <v>513</v>
      </c>
      <c r="D157" s="85" t="s">
        <v>426</v>
      </c>
      <c r="E157" s="85">
        <v>1</v>
      </c>
      <c r="F157" s="33">
        <f t="shared" si="5"/>
        <v>27</v>
      </c>
      <c r="G157" s="86"/>
      <c r="H157" s="80"/>
      <c r="I157" s="80"/>
      <c r="J157" s="272"/>
      <c r="K157" s="86"/>
      <c r="L157" s="86"/>
      <c r="M157" s="80"/>
      <c r="N157" s="80"/>
      <c r="O157" s="80"/>
      <c r="P157" s="80"/>
      <c r="Q157" s="163"/>
    </row>
    <row r="158" spans="1:17" ht="22.5" x14ac:dyDescent="0.25">
      <c r="A158" s="85">
        <v>15</v>
      </c>
      <c r="B158" s="85"/>
      <c r="C158" s="36" t="s">
        <v>487</v>
      </c>
      <c r="D158" s="85" t="s">
        <v>426</v>
      </c>
      <c r="E158" s="85">
        <v>1</v>
      </c>
      <c r="F158" s="33">
        <f t="shared" si="5"/>
        <v>27</v>
      </c>
      <c r="G158" s="86"/>
      <c r="H158" s="80"/>
      <c r="I158" s="80"/>
      <c r="J158" s="272"/>
      <c r="K158" s="86"/>
      <c r="L158" s="86"/>
      <c r="M158" s="80"/>
      <c r="N158" s="80"/>
      <c r="O158" s="80"/>
      <c r="P158" s="80"/>
      <c r="Q158" s="163"/>
    </row>
    <row r="159" spans="1:17" x14ac:dyDescent="0.25">
      <c r="A159" s="85"/>
      <c r="B159" s="268"/>
      <c r="C159" s="274" t="s">
        <v>521</v>
      </c>
      <c r="D159" s="268"/>
      <c r="E159" s="268"/>
      <c r="F159" s="33"/>
      <c r="G159" s="27"/>
      <c r="H159" s="80"/>
      <c r="I159" s="80"/>
      <c r="J159" s="27"/>
      <c r="K159" s="27"/>
      <c r="L159" s="27"/>
      <c r="M159" s="27"/>
      <c r="N159" s="27"/>
      <c r="O159" s="27"/>
      <c r="P159" s="27"/>
      <c r="Q159" s="27"/>
    </row>
    <row r="160" spans="1:17" hidden="1" x14ac:dyDescent="0.25">
      <c r="A160" s="275"/>
      <c r="B160" s="275"/>
      <c r="C160" s="33" t="s">
        <v>522</v>
      </c>
      <c r="D160" s="85"/>
      <c r="E160" s="85"/>
      <c r="F160" s="33"/>
      <c r="G160" s="86"/>
      <c r="H160" s="80"/>
      <c r="I160" s="80"/>
      <c r="J160" s="272"/>
      <c r="K160" s="86"/>
      <c r="L160" s="86"/>
      <c r="M160" s="80"/>
      <c r="N160" s="80"/>
      <c r="O160" s="80"/>
      <c r="P160" s="80"/>
      <c r="Q160" s="163"/>
    </row>
    <row r="161" spans="1:17" x14ac:dyDescent="0.25">
      <c r="A161" s="85">
        <v>1</v>
      </c>
      <c r="B161" s="85"/>
      <c r="C161" s="234" t="s">
        <v>425</v>
      </c>
      <c r="D161" s="85" t="s">
        <v>426</v>
      </c>
      <c r="E161" s="85">
        <v>1</v>
      </c>
      <c r="F161" s="33">
        <f t="shared" ref="F161:F174" si="6">E161*9</f>
        <v>9</v>
      </c>
      <c r="G161" s="86"/>
      <c r="H161" s="80"/>
      <c r="I161" s="80"/>
      <c r="J161" s="272"/>
      <c r="K161" s="86"/>
      <c r="L161" s="86"/>
      <c r="M161" s="80"/>
      <c r="N161" s="80"/>
      <c r="O161" s="80"/>
      <c r="P161" s="80"/>
      <c r="Q161" s="163"/>
    </row>
    <row r="162" spans="1:17" ht="33.75" x14ac:dyDescent="0.25">
      <c r="A162" s="85">
        <v>2</v>
      </c>
      <c r="B162" s="85"/>
      <c r="C162" s="36" t="s">
        <v>503</v>
      </c>
      <c r="D162" s="85" t="s">
        <v>426</v>
      </c>
      <c r="E162" s="85">
        <v>2</v>
      </c>
      <c r="F162" s="33">
        <f t="shared" si="6"/>
        <v>18</v>
      </c>
      <c r="G162" s="86"/>
      <c r="H162" s="80"/>
      <c r="I162" s="80"/>
      <c r="J162" s="272"/>
      <c r="K162" s="86"/>
      <c r="L162" s="86"/>
      <c r="M162" s="80"/>
      <c r="N162" s="80"/>
      <c r="O162" s="80"/>
      <c r="P162" s="80"/>
      <c r="Q162" s="163"/>
    </row>
    <row r="163" spans="1:17" ht="33.75" x14ac:dyDescent="0.25">
      <c r="A163" s="85">
        <v>3</v>
      </c>
      <c r="B163" s="85"/>
      <c r="C163" s="36" t="s">
        <v>516</v>
      </c>
      <c r="D163" s="85" t="s">
        <v>426</v>
      </c>
      <c r="E163" s="85">
        <v>1</v>
      </c>
      <c r="F163" s="33">
        <f t="shared" si="6"/>
        <v>9</v>
      </c>
      <c r="G163" s="86"/>
      <c r="H163" s="80"/>
      <c r="I163" s="80"/>
      <c r="J163" s="272"/>
      <c r="K163" s="86"/>
      <c r="L163" s="86"/>
      <c r="M163" s="80"/>
      <c r="N163" s="80"/>
      <c r="O163" s="80"/>
      <c r="P163" s="80"/>
      <c r="Q163" s="163"/>
    </row>
    <row r="164" spans="1:17" ht="33.75" x14ac:dyDescent="0.25">
      <c r="A164" s="85">
        <v>4</v>
      </c>
      <c r="B164" s="85"/>
      <c r="C164" s="36" t="s">
        <v>523</v>
      </c>
      <c r="D164" s="85" t="s">
        <v>426</v>
      </c>
      <c r="E164" s="85">
        <v>3</v>
      </c>
      <c r="F164" s="33">
        <f t="shared" si="6"/>
        <v>27</v>
      </c>
      <c r="G164" s="86"/>
      <c r="H164" s="80"/>
      <c r="I164" s="80"/>
      <c r="J164" s="272"/>
      <c r="K164" s="86"/>
      <c r="L164" s="86"/>
      <c r="M164" s="80"/>
      <c r="N164" s="80"/>
      <c r="O164" s="80"/>
      <c r="P164" s="80"/>
      <c r="Q164" s="163"/>
    </row>
    <row r="165" spans="1:17" ht="33.75" x14ac:dyDescent="0.25">
      <c r="A165" s="85">
        <v>5</v>
      </c>
      <c r="B165" s="85"/>
      <c r="C165" s="36" t="s">
        <v>506</v>
      </c>
      <c r="D165" s="85" t="s">
        <v>77</v>
      </c>
      <c r="E165" s="85">
        <v>3</v>
      </c>
      <c r="F165" s="33">
        <f t="shared" si="6"/>
        <v>27</v>
      </c>
      <c r="G165" s="86"/>
      <c r="H165" s="80"/>
      <c r="I165" s="80"/>
      <c r="J165" s="272"/>
      <c r="K165" s="86"/>
      <c r="L165" s="86"/>
      <c r="M165" s="80"/>
      <c r="N165" s="80"/>
      <c r="O165" s="80"/>
      <c r="P165" s="80"/>
      <c r="Q165" s="163"/>
    </row>
    <row r="166" spans="1:17" ht="22.5" x14ac:dyDescent="0.25">
      <c r="A166" s="85">
        <v>6</v>
      </c>
      <c r="B166" s="85"/>
      <c r="C166" s="36" t="s">
        <v>507</v>
      </c>
      <c r="D166" s="85" t="s">
        <v>54</v>
      </c>
      <c r="E166" s="85">
        <v>56</v>
      </c>
      <c r="F166" s="33">
        <f t="shared" si="6"/>
        <v>504</v>
      </c>
      <c r="G166" s="86"/>
      <c r="H166" s="80"/>
      <c r="I166" s="80"/>
      <c r="J166" s="272"/>
      <c r="K166" s="86"/>
      <c r="L166" s="86"/>
      <c r="M166" s="80"/>
      <c r="N166" s="80"/>
      <c r="O166" s="80"/>
      <c r="P166" s="80"/>
      <c r="Q166" s="163"/>
    </row>
    <row r="167" spans="1:17" x14ac:dyDescent="0.25">
      <c r="A167" s="85">
        <v>7</v>
      </c>
      <c r="B167" s="85"/>
      <c r="C167" s="36" t="s">
        <v>508</v>
      </c>
      <c r="D167" s="85" t="s">
        <v>77</v>
      </c>
      <c r="E167" s="85">
        <v>16</v>
      </c>
      <c r="F167" s="33">
        <f t="shared" si="6"/>
        <v>144</v>
      </c>
      <c r="G167" s="86"/>
      <c r="H167" s="80"/>
      <c r="I167" s="80"/>
      <c r="J167" s="272"/>
      <c r="K167" s="86"/>
      <c r="L167" s="86"/>
      <c r="M167" s="80"/>
      <c r="N167" s="80"/>
      <c r="O167" s="80"/>
      <c r="P167" s="80"/>
      <c r="Q167" s="163"/>
    </row>
    <row r="168" spans="1:17" x14ac:dyDescent="0.25">
      <c r="A168" s="85">
        <v>8</v>
      </c>
      <c r="B168" s="85"/>
      <c r="C168" s="36" t="s">
        <v>509</v>
      </c>
      <c r="D168" s="85" t="s">
        <v>77</v>
      </c>
      <c r="E168" s="85">
        <v>4</v>
      </c>
      <c r="F168" s="33">
        <f t="shared" si="6"/>
        <v>36</v>
      </c>
      <c r="G168" s="86"/>
      <c r="H168" s="80"/>
      <c r="I168" s="80"/>
      <c r="J168" s="272"/>
      <c r="K168" s="86"/>
      <c r="L168" s="86"/>
      <c r="M168" s="80"/>
      <c r="N168" s="80"/>
      <c r="O168" s="80"/>
      <c r="P168" s="80"/>
      <c r="Q168" s="163"/>
    </row>
    <row r="169" spans="1:17" x14ac:dyDescent="0.25">
      <c r="A169" s="85">
        <v>9</v>
      </c>
      <c r="B169" s="85"/>
      <c r="C169" s="36" t="s">
        <v>510</v>
      </c>
      <c r="D169" s="85" t="s">
        <v>77</v>
      </c>
      <c r="E169" s="85">
        <v>2</v>
      </c>
      <c r="F169" s="33">
        <f t="shared" si="6"/>
        <v>18</v>
      </c>
      <c r="G169" s="86"/>
      <c r="H169" s="80"/>
      <c r="I169" s="80"/>
      <c r="J169" s="272"/>
      <c r="K169" s="86"/>
      <c r="L169" s="86"/>
      <c r="M169" s="80"/>
      <c r="N169" s="80"/>
      <c r="O169" s="80"/>
      <c r="P169" s="80"/>
      <c r="Q169" s="163"/>
    </row>
    <row r="170" spans="1:17" ht="20.25" customHeight="1" x14ac:dyDescent="0.25">
      <c r="A170" s="85">
        <v>10</v>
      </c>
      <c r="B170" s="85"/>
      <c r="C170" s="36" t="s">
        <v>511</v>
      </c>
      <c r="D170" s="85" t="s">
        <v>54</v>
      </c>
      <c r="E170" s="85">
        <v>14</v>
      </c>
      <c r="F170" s="33">
        <f t="shared" si="6"/>
        <v>126</v>
      </c>
      <c r="G170" s="86"/>
      <c r="H170" s="80"/>
      <c r="I170" s="80"/>
      <c r="J170" s="267"/>
      <c r="K170" s="86"/>
      <c r="L170" s="86"/>
      <c r="M170" s="80"/>
      <c r="N170" s="80"/>
      <c r="O170" s="80"/>
      <c r="P170" s="80"/>
      <c r="Q170" s="163"/>
    </row>
    <row r="171" spans="1:17" ht="22.5" x14ac:dyDescent="0.25">
      <c r="A171" s="85">
        <v>11</v>
      </c>
      <c r="B171" s="85"/>
      <c r="C171" s="36" t="s">
        <v>512</v>
      </c>
      <c r="D171" s="85" t="s">
        <v>77</v>
      </c>
      <c r="E171" s="85">
        <v>8</v>
      </c>
      <c r="F171" s="33">
        <f t="shared" si="6"/>
        <v>72</v>
      </c>
      <c r="G171" s="80"/>
      <c r="H171" s="80"/>
      <c r="I171" s="80"/>
      <c r="J171" s="272"/>
      <c r="K171" s="86"/>
      <c r="L171" s="86"/>
      <c r="M171" s="80"/>
      <c r="N171" s="80"/>
      <c r="O171" s="80"/>
      <c r="P171" s="80"/>
      <c r="Q171" s="163"/>
    </row>
    <row r="172" spans="1:17" x14ac:dyDescent="0.25">
      <c r="A172" s="85">
        <v>12</v>
      </c>
      <c r="B172" s="85"/>
      <c r="C172" s="36" t="s">
        <v>483</v>
      </c>
      <c r="D172" s="85" t="s">
        <v>426</v>
      </c>
      <c r="E172" s="85">
        <v>1</v>
      </c>
      <c r="F172" s="33">
        <f t="shared" si="6"/>
        <v>9</v>
      </c>
      <c r="G172" s="86"/>
      <c r="H172" s="80"/>
      <c r="I172" s="80"/>
      <c r="J172" s="272"/>
      <c r="K172" s="86"/>
      <c r="L172" s="86"/>
      <c r="M172" s="80"/>
      <c r="N172" s="80"/>
      <c r="O172" s="80"/>
      <c r="P172" s="80"/>
      <c r="Q172" s="163"/>
    </row>
    <row r="173" spans="1:17" x14ac:dyDescent="0.25">
      <c r="A173" s="85">
        <v>13</v>
      </c>
      <c r="B173" s="85"/>
      <c r="C173" s="36" t="s">
        <v>513</v>
      </c>
      <c r="D173" s="85" t="s">
        <v>426</v>
      </c>
      <c r="E173" s="85">
        <v>1</v>
      </c>
      <c r="F173" s="33">
        <f t="shared" si="6"/>
        <v>9</v>
      </c>
      <c r="G173" s="86"/>
      <c r="H173" s="80"/>
      <c r="I173" s="80"/>
      <c r="J173" s="272"/>
      <c r="K173" s="86"/>
      <c r="L173" s="86"/>
      <c r="M173" s="80"/>
      <c r="N173" s="80"/>
      <c r="O173" s="80"/>
      <c r="P173" s="80"/>
      <c r="Q173" s="163"/>
    </row>
    <row r="174" spans="1:17" ht="22.5" x14ac:dyDescent="0.25">
      <c r="A174" s="85">
        <v>15</v>
      </c>
      <c r="B174" s="85"/>
      <c r="C174" s="36" t="s">
        <v>487</v>
      </c>
      <c r="D174" s="85" t="s">
        <v>426</v>
      </c>
      <c r="E174" s="85">
        <v>1</v>
      </c>
      <c r="F174" s="33">
        <f t="shared" si="6"/>
        <v>9</v>
      </c>
      <c r="G174" s="86"/>
      <c r="H174" s="80"/>
      <c r="I174" s="80"/>
      <c r="J174" s="272"/>
      <c r="K174" s="86"/>
      <c r="L174" s="86"/>
      <c r="M174" s="80"/>
      <c r="N174" s="80"/>
      <c r="O174" s="80"/>
      <c r="P174" s="80"/>
      <c r="Q174" s="163"/>
    </row>
    <row r="175" spans="1:17" x14ac:dyDescent="0.25">
      <c r="A175" s="85"/>
      <c r="B175" s="268"/>
      <c r="C175" s="274" t="s">
        <v>524</v>
      </c>
      <c r="D175" s="268"/>
      <c r="E175" s="268"/>
      <c r="F175" s="33"/>
      <c r="G175" s="27"/>
      <c r="H175" s="80"/>
      <c r="I175" s="80"/>
      <c r="J175" s="27"/>
      <c r="K175" s="27"/>
      <c r="L175" s="27"/>
      <c r="M175" s="27"/>
      <c r="N175" s="27"/>
      <c r="O175" s="27"/>
      <c r="P175" s="27"/>
      <c r="Q175" s="27"/>
    </row>
    <row r="176" spans="1:17" hidden="1" x14ac:dyDescent="0.25">
      <c r="A176" s="275"/>
      <c r="B176" s="275"/>
      <c r="C176" s="33" t="s">
        <v>525</v>
      </c>
      <c r="D176" s="85"/>
      <c r="E176" s="85">
        <v>1</v>
      </c>
      <c r="F176" s="33"/>
      <c r="G176" s="27"/>
      <c r="H176" s="80"/>
      <c r="I176" s="80"/>
      <c r="J176" s="27"/>
      <c r="K176" s="27"/>
      <c r="L176" s="27"/>
      <c r="M176" s="27"/>
      <c r="N176" s="27"/>
      <c r="O176" s="27"/>
      <c r="P176" s="27"/>
      <c r="Q176" s="27"/>
    </row>
    <row r="177" spans="1:17" x14ac:dyDescent="0.25">
      <c r="A177" s="85">
        <v>1</v>
      </c>
      <c r="B177" s="85"/>
      <c r="C177" s="234" t="s">
        <v>425</v>
      </c>
      <c r="D177" s="85" t="s">
        <v>426</v>
      </c>
      <c r="E177" s="85">
        <v>1</v>
      </c>
      <c r="F177" s="33">
        <f t="shared" ref="F177:F191" si="7">E177</f>
        <v>1</v>
      </c>
      <c r="G177" s="86"/>
      <c r="H177" s="80"/>
      <c r="I177" s="80"/>
      <c r="J177" s="272"/>
      <c r="K177" s="86"/>
      <c r="L177" s="86"/>
      <c r="M177" s="80"/>
      <c r="N177" s="80"/>
      <c r="O177" s="80"/>
      <c r="P177" s="80"/>
      <c r="Q177" s="163"/>
    </row>
    <row r="178" spans="1:17" ht="33.75" x14ac:dyDescent="0.25">
      <c r="A178" s="85">
        <v>2</v>
      </c>
      <c r="B178" s="85"/>
      <c r="C178" s="36" t="s">
        <v>503</v>
      </c>
      <c r="D178" s="85" t="s">
        <v>426</v>
      </c>
      <c r="E178" s="85">
        <v>1</v>
      </c>
      <c r="F178" s="33">
        <f t="shared" si="7"/>
        <v>1</v>
      </c>
      <c r="G178" s="86"/>
      <c r="H178" s="80"/>
      <c r="I178" s="80"/>
      <c r="J178" s="272"/>
      <c r="K178" s="86"/>
      <c r="L178" s="86"/>
      <c r="M178" s="80"/>
      <c r="N178" s="80"/>
      <c r="O178" s="80"/>
      <c r="P178" s="80"/>
      <c r="Q178" s="163"/>
    </row>
    <row r="179" spans="1:17" ht="33.75" x14ac:dyDescent="0.25">
      <c r="A179" s="85">
        <v>3</v>
      </c>
      <c r="B179" s="85"/>
      <c r="C179" s="36" t="s">
        <v>516</v>
      </c>
      <c r="D179" s="85" t="s">
        <v>426</v>
      </c>
      <c r="E179" s="85">
        <v>1</v>
      </c>
      <c r="F179" s="33">
        <f t="shared" si="7"/>
        <v>1</v>
      </c>
      <c r="G179" s="86"/>
      <c r="H179" s="80"/>
      <c r="I179" s="80"/>
      <c r="J179" s="272"/>
      <c r="K179" s="86"/>
      <c r="L179" s="86"/>
      <c r="M179" s="80"/>
      <c r="N179" s="80"/>
      <c r="O179" s="80"/>
      <c r="P179" s="80"/>
      <c r="Q179" s="163"/>
    </row>
    <row r="180" spans="1:17" ht="33.75" x14ac:dyDescent="0.25">
      <c r="A180" s="85">
        <v>4</v>
      </c>
      <c r="B180" s="85"/>
      <c r="C180" s="36" t="s">
        <v>504</v>
      </c>
      <c r="D180" s="85" t="s">
        <v>426</v>
      </c>
      <c r="E180" s="85">
        <v>1</v>
      </c>
      <c r="F180" s="33">
        <f t="shared" si="7"/>
        <v>1</v>
      </c>
      <c r="G180" s="86"/>
      <c r="H180" s="80"/>
      <c r="I180" s="80"/>
      <c r="J180" s="272"/>
      <c r="K180" s="86"/>
      <c r="L180" s="86"/>
      <c r="M180" s="80"/>
      <c r="N180" s="80"/>
      <c r="O180" s="80"/>
      <c r="P180" s="80"/>
      <c r="Q180" s="163"/>
    </row>
    <row r="181" spans="1:17" ht="33.75" x14ac:dyDescent="0.25">
      <c r="A181" s="85">
        <v>5</v>
      </c>
      <c r="B181" s="85"/>
      <c r="C181" s="36" t="s">
        <v>505</v>
      </c>
      <c r="D181" s="85" t="s">
        <v>426</v>
      </c>
      <c r="E181" s="85">
        <v>3</v>
      </c>
      <c r="F181" s="33">
        <f t="shared" si="7"/>
        <v>3</v>
      </c>
      <c r="G181" s="86"/>
      <c r="H181" s="80"/>
      <c r="I181" s="80"/>
      <c r="J181" s="272"/>
      <c r="K181" s="86"/>
      <c r="L181" s="86"/>
      <c r="M181" s="80"/>
      <c r="N181" s="80"/>
      <c r="O181" s="80"/>
      <c r="P181" s="80"/>
      <c r="Q181" s="163"/>
    </row>
    <row r="182" spans="1:17" ht="33.75" x14ac:dyDescent="0.25">
      <c r="A182" s="85">
        <v>6</v>
      </c>
      <c r="B182" s="85"/>
      <c r="C182" s="36" t="s">
        <v>506</v>
      </c>
      <c r="D182" s="85" t="s">
        <v>77</v>
      </c>
      <c r="E182" s="85">
        <v>3</v>
      </c>
      <c r="F182" s="33">
        <f t="shared" si="7"/>
        <v>3</v>
      </c>
      <c r="G182" s="86"/>
      <c r="H182" s="80"/>
      <c r="I182" s="80"/>
      <c r="J182" s="272"/>
      <c r="K182" s="86"/>
      <c r="L182" s="86"/>
      <c r="M182" s="80"/>
      <c r="N182" s="80"/>
      <c r="O182" s="80"/>
      <c r="P182" s="80"/>
      <c r="Q182" s="163"/>
    </row>
    <row r="183" spans="1:17" ht="22.5" x14ac:dyDescent="0.25">
      <c r="A183" s="85">
        <v>7</v>
      </c>
      <c r="B183" s="85"/>
      <c r="C183" s="36" t="s">
        <v>507</v>
      </c>
      <c r="D183" s="85" t="s">
        <v>54</v>
      </c>
      <c r="E183" s="85">
        <v>60</v>
      </c>
      <c r="F183" s="33">
        <f t="shared" si="7"/>
        <v>60</v>
      </c>
      <c r="G183" s="86"/>
      <c r="H183" s="80"/>
      <c r="I183" s="80"/>
      <c r="J183" s="272"/>
      <c r="K183" s="86"/>
      <c r="L183" s="86"/>
      <c r="M183" s="80"/>
      <c r="N183" s="80"/>
      <c r="O183" s="80"/>
      <c r="P183" s="80"/>
      <c r="Q183" s="163"/>
    </row>
    <row r="184" spans="1:17" x14ac:dyDescent="0.25">
      <c r="A184" s="85">
        <v>8</v>
      </c>
      <c r="B184" s="85"/>
      <c r="C184" s="36" t="s">
        <v>508</v>
      </c>
      <c r="D184" s="85" t="s">
        <v>77</v>
      </c>
      <c r="E184" s="85">
        <v>12</v>
      </c>
      <c r="F184" s="33">
        <f t="shared" si="7"/>
        <v>12</v>
      </c>
      <c r="G184" s="86"/>
      <c r="H184" s="80"/>
      <c r="I184" s="80"/>
      <c r="J184" s="272"/>
      <c r="K184" s="86"/>
      <c r="L184" s="86"/>
      <c r="M184" s="80"/>
      <c r="N184" s="80"/>
      <c r="O184" s="80"/>
      <c r="P184" s="80"/>
      <c r="Q184" s="163"/>
    </row>
    <row r="185" spans="1:17" x14ac:dyDescent="0.25">
      <c r="A185" s="85">
        <v>9</v>
      </c>
      <c r="B185" s="85"/>
      <c r="C185" s="36" t="s">
        <v>509</v>
      </c>
      <c r="D185" s="85" t="s">
        <v>77</v>
      </c>
      <c r="E185" s="85">
        <v>8</v>
      </c>
      <c r="F185" s="33">
        <f t="shared" si="7"/>
        <v>8</v>
      </c>
      <c r="G185" s="86"/>
      <c r="H185" s="80"/>
      <c r="I185" s="80"/>
      <c r="J185" s="272"/>
      <c r="K185" s="86"/>
      <c r="L185" s="86"/>
      <c r="M185" s="80"/>
      <c r="N185" s="80"/>
      <c r="O185" s="80"/>
      <c r="P185" s="80"/>
      <c r="Q185" s="163"/>
    </row>
    <row r="186" spans="1:17" x14ac:dyDescent="0.25">
      <c r="A186" s="85">
        <v>10</v>
      </c>
      <c r="B186" s="85"/>
      <c r="C186" s="36" t="s">
        <v>510</v>
      </c>
      <c r="D186" s="85" t="s">
        <v>77</v>
      </c>
      <c r="E186" s="85">
        <v>2</v>
      </c>
      <c r="F186" s="33">
        <f t="shared" si="7"/>
        <v>2</v>
      </c>
      <c r="G186" s="86"/>
      <c r="H186" s="80"/>
      <c r="I186" s="80"/>
      <c r="J186" s="272"/>
      <c r="K186" s="86"/>
      <c r="L186" s="86"/>
      <c r="M186" s="80"/>
      <c r="N186" s="80"/>
      <c r="O186" s="80"/>
      <c r="P186" s="80"/>
      <c r="Q186" s="163"/>
    </row>
    <row r="187" spans="1:17" ht="20.25" customHeight="1" x14ac:dyDescent="0.25">
      <c r="A187" s="85">
        <v>11</v>
      </c>
      <c r="B187" s="85"/>
      <c r="C187" s="36" t="s">
        <v>511</v>
      </c>
      <c r="D187" s="85" t="s">
        <v>54</v>
      </c>
      <c r="E187" s="85">
        <v>16</v>
      </c>
      <c r="F187" s="33">
        <f t="shared" si="7"/>
        <v>16</v>
      </c>
      <c r="G187" s="86"/>
      <c r="H187" s="80"/>
      <c r="I187" s="80"/>
      <c r="J187" s="267"/>
      <c r="K187" s="86"/>
      <c r="L187" s="86"/>
      <c r="M187" s="80"/>
      <c r="N187" s="80"/>
      <c r="O187" s="80"/>
      <c r="P187" s="80"/>
      <c r="Q187" s="163"/>
    </row>
    <row r="188" spans="1:17" ht="22.5" x14ac:dyDescent="0.25">
      <c r="A188" s="85">
        <v>12</v>
      </c>
      <c r="B188" s="85"/>
      <c r="C188" s="36" t="s">
        <v>512</v>
      </c>
      <c r="D188" s="85" t="s">
        <v>77</v>
      </c>
      <c r="E188" s="85">
        <v>8</v>
      </c>
      <c r="F188" s="33">
        <f t="shared" si="7"/>
        <v>8</v>
      </c>
      <c r="G188" s="80"/>
      <c r="H188" s="80"/>
      <c r="I188" s="80"/>
      <c r="J188" s="272"/>
      <c r="K188" s="86"/>
      <c r="L188" s="86"/>
      <c r="M188" s="80"/>
      <c r="N188" s="80"/>
      <c r="O188" s="80"/>
      <c r="P188" s="80"/>
      <c r="Q188" s="163"/>
    </row>
    <row r="189" spans="1:17" x14ac:dyDescent="0.25">
      <c r="A189" s="85">
        <v>13</v>
      </c>
      <c r="B189" s="85"/>
      <c r="C189" s="36" t="s">
        <v>483</v>
      </c>
      <c r="D189" s="85" t="s">
        <v>426</v>
      </c>
      <c r="E189" s="85">
        <v>1</v>
      </c>
      <c r="F189" s="33">
        <f t="shared" si="7"/>
        <v>1</v>
      </c>
      <c r="G189" s="86"/>
      <c r="H189" s="80"/>
      <c r="I189" s="80"/>
      <c r="J189" s="272"/>
      <c r="K189" s="86"/>
      <c r="L189" s="86"/>
      <c r="M189" s="80"/>
      <c r="N189" s="80"/>
      <c r="O189" s="80"/>
      <c r="P189" s="80"/>
      <c r="Q189" s="163"/>
    </row>
    <row r="190" spans="1:17" x14ac:dyDescent="0.25">
      <c r="A190" s="85">
        <v>14</v>
      </c>
      <c r="B190" s="85"/>
      <c r="C190" s="36" t="s">
        <v>513</v>
      </c>
      <c r="D190" s="85" t="s">
        <v>426</v>
      </c>
      <c r="E190" s="85">
        <v>1</v>
      </c>
      <c r="F190" s="33">
        <f t="shared" si="7"/>
        <v>1</v>
      </c>
      <c r="G190" s="86"/>
      <c r="H190" s="80"/>
      <c r="I190" s="80"/>
      <c r="J190" s="272"/>
      <c r="K190" s="86"/>
      <c r="L190" s="86"/>
      <c r="M190" s="80"/>
      <c r="N190" s="80"/>
      <c r="O190" s="80"/>
      <c r="P190" s="80"/>
      <c r="Q190" s="163"/>
    </row>
    <row r="191" spans="1:17" ht="22.5" x14ac:dyDescent="0.25">
      <c r="A191" s="85">
        <v>15</v>
      </c>
      <c r="B191" s="85"/>
      <c r="C191" s="36" t="s">
        <v>487</v>
      </c>
      <c r="D191" s="85" t="s">
        <v>426</v>
      </c>
      <c r="E191" s="85">
        <v>1</v>
      </c>
      <c r="F191" s="33">
        <f t="shared" si="7"/>
        <v>1</v>
      </c>
      <c r="G191" s="86"/>
      <c r="H191" s="80"/>
      <c r="I191" s="80"/>
      <c r="J191" s="272"/>
      <c r="K191" s="86"/>
      <c r="L191" s="86"/>
      <c r="M191" s="80"/>
      <c r="N191" s="80"/>
      <c r="O191" s="80"/>
      <c r="P191" s="80"/>
      <c r="Q191" s="163"/>
    </row>
    <row r="192" spans="1:17" x14ac:dyDescent="0.25">
      <c r="A192" s="85"/>
      <c r="B192" s="268"/>
      <c r="C192" s="274" t="s">
        <v>526</v>
      </c>
      <c r="D192" s="268"/>
      <c r="E192" s="268"/>
      <c r="F192" s="33"/>
      <c r="G192" s="27"/>
      <c r="H192" s="80"/>
      <c r="I192" s="80"/>
      <c r="J192" s="27"/>
      <c r="K192" s="27"/>
      <c r="L192" s="27"/>
      <c r="M192" s="27"/>
      <c r="N192" s="27"/>
      <c r="O192" s="27"/>
      <c r="P192" s="27"/>
      <c r="Q192" s="27"/>
    </row>
    <row r="193" spans="1:17" hidden="1" x14ac:dyDescent="0.25">
      <c r="A193" s="275"/>
      <c r="B193" s="275"/>
      <c r="C193" s="33" t="s">
        <v>527</v>
      </c>
      <c r="D193" s="85"/>
      <c r="E193" s="85">
        <v>8</v>
      </c>
      <c r="F193" s="33"/>
      <c r="G193" s="27"/>
      <c r="H193" s="80"/>
      <c r="I193" s="80"/>
      <c r="J193" s="27"/>
      <c r="K193" s="27"/>
      <c r="L193" s="27"/>
      <c r="M193" s="27"/>
      <c r="N193" s="27"/>
      <c r="O193" s="27"/>
      <c r="P193" s="27"/>
      <c r="Q193" s="27"/>
    </row>
    <row r="194" spans="1:17" x14ac:dyDescent="0.25">
      <c r="A194" s="85">
        <v>1</v>
      </c>
      <c r="B194" s="85"/>
      <c r="C194" s="234" t="s">
        <v>425</v>
      </c>
      <c r="D194" s="85" t="s">
        <v>426</v>
      </c>
      <c r="E194" s="85">
        <v>1</v>
      </c>
      <c r="F194" s="33">
        <f t="shared" ref="F194:F208" si="8">E194</f>
        <v>1</v>
      </c>
      <c r="G194" s="86"/>
      <c r="H194" s="80"/>
      <c r="I194" s="80"/>
      <c r="J194" s="272"/>
      <c r="K194" s="86"/>
      <c r="L194" s="86"/>
      <c r="M194" s="80"/>
      <c r="N194" s="80"/>
      <c r="O194" s="80"/>
      <c r="P194" s="80"/>
      <c r="Q194" s="163"/>
    </row>
    <row r="195" spans="1:17" ht="33.75" x14ac:dyDescent="0.25">
      <c r="A195" s="85">
        <v>2</v>
      </c>
      <c r="B195" s="85"/>
      <c r="C195" s="36" t="s">
        <v>503</v>
      </c>
      <c r="D195" s="85" t="s">
        <v>426</v>
      </c>
      <c r="E195" s="85">
        <v>1</v>
      </c>
      <c r="F195" s="33">
        <f t="shared" si="8"/>
        <v>1</v>
      </c>
      <c r="G195" s="86"/>
      <c r="H195" s="80"/>
      <c r="I195" s="80"/>
      <c r="J195" s="272"/>
      <c r="K195" s="86"/>
      <c r="L195" s="86"/>
      <c r="M195" s="80"/>
      <c r="N195" s="80"/>
      <c r="O195" s="80"/>
      <c r="P195" s="80"/>
      <c r="Q195" s="163"/>
    </row>
    <row r="196" spans="1:17" ht="33.75" x14ac:dyDescent="0.25">
      <c r="A196" s="85">
        <v>3</v>
      </c>
      <c r="B196" s="85"/>
      <c r="C196" s="36" t="s">
        <v>516</v>
      </c>
      <c r="D196" s="85" t="s">
        <v>426</v>
      </c>
      <c r="E196" s="85">
        <v>1</v>
      </c>
      <c r="F196" s="33">
        <f t="shared" si="8"/>
        <v>1</v>
      </c>
      <c r="G196" s="86"/>
      <c r="H196" s="80"/>
      <c r="I196" s="80"/>
      <c r="J196" s="272"/>
      <c r="K196" s="86"/>
      <c r="L196" s="86"/>
      <c r="M196" s="80"/>
      <c r="N196" s="80"/>
      <c r="O196" s="80"/>
      <c r="P196" s="80"/>
      <c r="Q196" s="163"/>
    </row>
    <row r="197" spans="1:17" ht="33.75" x14ac:dyDescent="0.25">
      <c r="A197" s="85">
        <v>4</v>
      </c>
      <c r="B197" s="85"/>
      <c r="C197" s="36" t="s">
        <v>528</v>
      </c>
      <c r="D197" s="85" t="s">
        <v>426</v>
      </c>
      <c r="E197" s="85">
        <v>1</v>
      </c>
      <c r="F197" s="33">
        <f t="shared" si="8"/>
        <v>1</v>
      </c>
      <c r="G197" s="86"/>
      <c r="H197" s="80"/>
      <c r="I197" s="80"/>
      <c r="J197" s="272"/>
      <c r="K197" s="86"/>
      <c r="L197" s="86"/>
      <c r="M197" s="80"/>
      <c r="N197" s="80"/>
      <c r="O197" s="80"/>
      <c r="P197" s="80"/>
      <c r="Q197" s="163"/>
    </row>
    <row r="198" spans="1:17" ht="33.75" x14ac:dyDescent="0.25">
      <c r="A198" s="85">
        <v>5</v>
      </c>
      <c r="B198" s="85"/>
      <c r="C198" s="36" t="s">
        <v>505</v>
      </c>
      <c r="D198" s="85" t="s">
        <v>426</v>
      </c>
      <c r="E198" s="85">
        <v>3</v>
      </c>
      <c r="F198" s="33">
        <f t="shared" si="8"/>
        <v>3</v>
      </c>
      <c r="G198" s="86"/>
      <c r="H198" s="80"/>
      <c r="I198" s="80"/>
      <c r="J198" s="272"/>
      <c r="K198" s="86"/>
      <c r="L198" s="86"/>
      <c r="M198" s="80"/>
      <c r="N198" s="80"/>
      <c r="O198" s="80"/>
      <c r="P198" s="80"/>
      <c r="Q198" s="163"/>
    </row>
    <row r="199" spans="1:17" ht="33.75" x14ac:dyDescent="0.25">
      <c r="A199" s="85">
        <v>6</v>
      </c>
      <c r="B199" s="85"/>
      <c r="C199" s="36" t="s">
        <v>506</v>
      </c>
      <c r="D199" s="85" t="s">
        <v>77</v>
      </c>
      <c r="E199" s="85">
        <v>3</v>
      </c>
      <c r="F199" s="33">
        <f t="shared" si="8"/>
        <v>3</v>
      </c>
      <c r="G199" s="86"/>
      <c r="H199" s="80"/>
      <c r="I199" s="80"/>
      <c r="J199" s="272"/>
      <c r="K199" s="86"/>
      <c r="L199" s="86"/>
      <c r="M199" s="80"/>
      <c r="N199" s="80"/>
      <c r="O199" s="80"/>
      <c r="P199" s="80"/>
      <c r="Q199" s="163"/>
    </row>
    <row r="200" spans="1:17" ht="22.5" x14ac:dyDescent="0.25">
      <c r="A200" s="85">
        <v>7</v>
      </c>
      <c r="B200" s="85"/>
      <c r="C200" s="36" t="s">
        <v>507</v>
      </c>
      <c r="D200" s="85" t="s">
        <v>54</v>
      </c>
      <c r="E200" s="85">
        <v>76</v>
      </c>
      <c r="F200" s="33">
        <f t="shared" si="8"/>
        <v>76</v>
      </c>
      <c r="G200" s="86"/>
      <c r="H200" s="80"/>
      <c r="I200" s="80"/>
      <c r="J200" s="272"/>
      <c r="K200" s="86"/>
      <c r="L200" s="86"/>
      <c r="M200" s="80"/>
      <c r="N200" s="80"/>
      <c r="O200" s="80"/>
      <c r="P200" s="80"/>
      <c r="Q200" s="163"/>
    </row>
    <row r="201" spans="1:17" x14ac:dyDescent="0.25">
      <c r="A201" s="85">
        <v>8</v>
      </c>
      <c r="B201" s="85"/>
      <c r="C201" s="36" t="s">
        <v>508</v>
      </c>
      <c r="D201" s="85" t="s">
        <v>77</v>
      </c>
      <c r="E201" s="85">
        <v>16</v>
      </c>
      <c r="F201" s="33">
        <f t="shared" si="8"/>
        <v>16</v>
      </c>
      <c r="G201" s="86"/>
      <c r="H201" s="80"/>
      <c r="I201" s="80"/>
      <c r="J201" s="272"/>
      <c r="K201" s="86"/>
      <c r="L201" s="86"/>
      <c r="M201" s="80"/>
      <c r="N201" s="80"/>
      <c r="O201" s="80"/>
      <c r="P201" s="80"/>
      <c r="Q201" s="163"/>
    </row>
    <row r="202" spans="1:17" x14ac:dyDescent="0.25">
      <c r="A202" s="85">
        <v>9</v>
      </c>
      <c r="B202" s="85"/>
      <c r="C202" s="36" t="s">
        <v>509</v>
      </c>
      <c r="D202" s="85" t="s">
        <v>77</v>
      </c>
      <c r="E202" s="85">
        <v>6</v>
      </c>
      <c r="F202" s="33">
        <f t="shared" si="8"/>
        <v>6</v>
      </c>
      <c r="G202" s="86"/>
      <c r="H202" s="80"/>
      <c r="I202" s="80"/>
      <c r="J202" s="272"/>
      <c r="K202" s="86"/>
      <c r="L202" s="86"/>
      <c r="M202" s="80"/>
      <c r="N202" s="80"/>
      <c r="O202" s="80"/>
      <c r="P202" s="80"/>
      <c r="Q202" s="163"/>
    </row>
    <row r="203" spans="1:17" x14ac:dyDescent="0.25">
      <c r="A203" s="85">
        <v>10</v>
      </c>
      <c r="B203" s="85"/>
      <c r="C203" s="36" t="s">
        <v>510</v>
      </c>
      <c r="D203" s="85" t="s">
        <v>77</v>
      </c>
      <c r="E203" s="85">
        <v>2</v>
      </c>
      <c r="F203" s="33">
        <f t="shared" si="8"/>
        <v>2</v>
      </c>
      <c r="G203" s="86"/>
      <c r="H203" s="80"/>
      <c r="I203" s="80"/>
      <c r="J203" s="272"/>
      <c r="K203" s="86"/>
      <c r="L203" s="86"/>
      <c r="M203" s="80"/>
      <c r="N203" s="80"/>
      <c r="O203" s="80"/>
      <c r="P203" s="80"/>
      <c r="Q203" s="163"/>
    </row>
    <row r="204" spans="1:17" ht="20.25" customHeight="1" x14ac:dyDescent="0.25">
      <c r="A204" s="85">
        <v>11</v>
      </c>
      <c r="B204" s="85"/>
      <c r="C204" s="36" t="s">
        <v>511</v>
      </c>
      <c r="D204" s="85" t="s">
        <v>54</v>
      </c>
      <c r="E204" s="85">
        <v>18</v>
      </c>
      <c r="F204" s="33">
        <f t="shared" si="8"/>
        <v>18</v>
      </c>
      <c r="G204" s="86"/>
      <c r="H204" s="80"/>
      <c r="I204" s="80"/>
      <c r="J204" s="267"/>
      <c r="K204" s="86"/>
      <c r="L204" s="86"/>
      <c r="M204" s="80"/>
      <c r="N204" s="80"/>
      <c r="O204" s="80"/>
      <c r="P204" s="80"/>
      <c r="Q204" s="163"/>
    </row>
    <row r="205" spans="1:17" ht="22.5" x14ac:dyDescent="0.25">
      <c r="A205" s="85">
        <v>12</v>
      </c>
      <c r="B205" s="85"/>
      <c r="C205" s="36" t="s">
        <v>512</v>
      </c>
      <c r="D205" s="85" t="s">
        <v>77</v>
      </c>
      <c r="E205" s="85">
        <v>12</v>
      </c>
      <c r="F205" s="33">
        <f t="shared" si="8"/>
        <v>12</v>
      </c>
      <c r="G205" s="80"/>
      <c r="H205" s="80"/>
      <c r="I205" s="80"/>
      <c r="J205" s="272"/>
      <c r="K205" s="86"/>
      <c r="L205" s="86"/>
      <c r="M205" s="80"/>
      <c r="N205" s="80"/>
      <c r="O205" s="80"/>
      <c r="P205" s="80"/>
      <c r="Q205" s="163"/>
    </row>
    <row r="206" spans="1:17" x14ac:dyDescent="0.25">
      <c r="A206" s="85">
        <v>13</v>
      </c>
      <c r="B206" s="85"/>
      <c r="C206" s="36" t="s">
        <v>483</v>
      </c>
      <c r="D206" s="85" t="s">
        <v>426</v>
      </c>
      <c r="E206" s="85">
        <v>1</v>
      </c>
      <c r="F206" s="33">
        <f t="shared" si="8"/>
        <v>1</v>
      </c>
      <c r="G206" s="86"/>
      <c r="H206" s="80"/>
      <c r="I206" s="80"/>
      <c r="J206" s="272"/>
      <c r="K206" s="86"/>
      <c r="L206" s="86"/>
      <c r="M206" s="80"/>
      <c r="N206" s="80"/>
      <c r="O206" s="80"/>
      <c r="P206" s="80"/>
      <c r="Q206" s="163"/>
    </row>
    <row r="207" spans="1:17" x14ac:dyDescent="0.25">
      <c r="A207" s="85">
        <v>14</v>
      </c>
      <c r="B207" s="85"/>
      <c r="C207" s="36" t="s">
        <v>513</v>
      </c>
      <c r="D207" s="85" t="s">
        <v>426</v>
      </c>
      <c r="E207" s="85">
        <v>1</v>
      </c>
      <c r="F207" s="33">
        <f t="shared" si="8"/>
        <v>1</v>
      </c>
      <c r="G207" s="86"/>
      <c r="H207" s="80"/>
      <c r="I207" s="80"/>
      <c r="J207" s="272"/>
      <c r="K207" s="86"/>
      <c r="L207" s="86"/>
      <c r="M207" s="80"/>
      <c r="N207" s="80"/>
      <c r="O207" s="80"/>
      <c r="P207" s="80"/>
      <c r="Q207" s="163"/>
    </row>
    <row r="208" spans="1:17" ht="22.5" x14ac:dyDescent="0.25">
      <c r="A208" s="85">
        <v>15</v>
      </c>
      <c r="B208" s="85"/>
      <c r="C208" s="36" t="s">
        <v>487</v>
      </c>
      <c r="D208" s="85" t="s">
        <v>426</v>
      </c>
      <c r="E208" s="85">
        <v>1</v>
      </c>
      <c r="F208" s="33">
        <f t="shared" si="8"/>
        <v>1</v>
      </c>
      <c r="G208" s="86"/>
      <c r="H208" s="80"/>
      <c r="I208" s="80"/>
      <c r="J208" s="272"/>
      <c r="K208" s="86"/>
      <c r="L208" s="86"/>
      <c r="M208" s="80"/>
      <c r="N208" s="80"/>
      <c r="O208" s="80"/>
      <c r="P208" s="80"/>
      <c r="Q208" s="163"/>
    </row>
    <row r="209" spans="1:17" x14ac:dyDescent="0.25">
      <c r="A209" s="85"/>
      <c r="B209" s="268"/>
      <c r="C209" s="274" t="s">
        <v>529</v>
      </c>
      <c r="D209" s="268"/>
      <c r="E209" s="268"/>
      <c r="F209" s="33"/>
      <c r="G209" s="27"/>
      <c r="H209" s="80"/>
      <c r="I209" s="80"/>
      <c r="J209" s="27"/>
      <c r="K209" s="27"/>
      <c r="L209" s="27"/>
      <c r="M209" s="27"/>
      <c r="N209" s="27"/>
      <c r="O209" s="27"/>
      <c r="P209" s="27"/>
      <c r="Q209" s="27"/>
    </row>
    <row r="210" spans="1:17" hidden="1" x14ac:dyDescent="0.25">
      <c r="A210" s="275"/>
      <c r="B210" s="275"/>
      <c r="C210" s="33" t="s">
        <v>530</v>
      </c>
      <c r="D210" s="85"/>
      <c r="E210" s="85">
        <v>8</v>
      </c>
      <c r="F210" s="33"/>
      <c r="G210" s="27"/>
      <c r="H210" s="80"/>
      <c r="I210" s="80"/>
      <c r="J210" s="27"/>
      <c r="K210" s="27"/>
      <c r="L210" s="27"/>
      <c r="M210" s="27"/>
      <c r="N210" s="27"/>
      <c r="O210" s="27"/>
      <c r="P210" s="27"/>
      <c r="Q210" s="27"/>
    </row>
    <row r="211" spans="1:17" x14ac:dyDescent="0.25">
      <c r="A211" s="85">
        <v>1</v>
      </c>
      <c r="B211" s="85"/>
      <c r="C211" s="234" t="s">
        <v>425</v>
      </c>
      <c r="D211" s="85" t="s">
        <v>426</v>
      </c>
      <c r="E211" s="85">
        <v>1</v>
      </c>
      <c r="F211" s="33">
        <f t="shared" ref="F211:F225" si="9">E211*8</f>
        <v>8</v>
      </c>
      <c r="G211" s="86"/>
      <c r="H211" s="80"/>
      <c r="I211" s="80"/>
      <c r="J211" s="272"/>
      <c r="K211" s="86"/>
      <c r="L211" s="86"/>
      <c r="M211" s="80"/>
      <c r="N211" s="80"/>
      <c r="O211" s="80"/>
      <c r="P211" s="80"/>
      <c r="Q211" s="163"/>
    </row>
    <row r="212" spans="1:17" ht="33.75" x14ac:dyDescent="0.25">
      <c r="A212" s="85">
        <v>2</v>
      </c>
      <c r="B212" s="85"/>
      <c r="C212" s="36" t="s">
        <v>503</v>
      </c>
      <c r="D212" s="85" t="s">
        <v>426</v>
      </c>
      <c r="E212" s="85">
        <v>1</v>
      </c>
      <c r="F212" s="33">
        <f t="shared" si="9"/>
        <v>8</v>
      </c>
      <c r="G212" s="86"/>
      <c r="H212" s="80"/>
      <c r="I212" s="80"/>
      <c r="J212" s="272"/>
      <c r="K212" s="86"/>
      <c r="L212" s="86"/>
      <c r="M212" s="80"/>
      <c r="N212" s="80"/>
      <c r="O212" s="80"/>
      <c r="P212" s="80"/>
      <c r="Q212" s="163"/>
    </row>
    <row r="213" spans="1:17" ht="33.75" x14ac:dyDescent="0.25">
      <c r="A213" s="85">
        <v>3</v>
      </c>
      <c r="B213" s="85"/>
      <c r="C213" s="36" t="s">
        <v>516</v>
      </c>
      <c r="D213" s="85" t="s">
        <v>426</v>
      </c>
      <c r="E213" s="85">
        <v>1</v>
      </c>
      <c r="F213" s="33">
        <f t="shared" si="9"/>
        <v>8</v>
      </c>
      <c r="G213" s="86"/>
      <c r="H213" s="80"/>
      <c r="I213" s="80"/>
      <c r="J213" s="272"/>
      <c r="K213" s="86"/>
      <c r="L213" s="86"/>
      <c r="M213" s="80"/>
      <c r="N213" s="80"/>
      <c r="O213" s="80"/>
      <c r="P213" s="80"/>
      <c r="Q213" s="163"/>
    </row>
    <row r="214" spans="1:17" ht="33.75" x14ac:dyDescent="0.25">
      <c r="A214" s="85">
        <v>4</v>
      </c>
      <c r="B214" s="85"/>
      <c r="C214" s="36" t="s">
        <v>528</v>
      </c>
      <c r="D214" s="85" t="s">
        <v>426</v>
      </c>
      <c r="E214" s="85">
        <v>1</v>
      </c>
      <c r="F214" s="33">
        <f t="shared" si="9"/>
        <v>8</v>
      </c>
      <c r="G214" s="86"/>
      <c r="H214" s="80"/>
      <c r="I214" s="80"/>
      <c r="J214" s="272"/>
      <c r="K214" s="86"/>
      <c r="L214" s="86"/>
      <c r="M214" s="80"/>
      <c r="N214" s="80"/>
      <c r="O214" s="80"/>
      <c r="P214" s="80"/>
      <c r="Q214" s="163"/>
    </row>
    <row r="215" spans="1:17" ht="33.75" x14ac:dyDescent="0.25">
      <c r="A215" s="85">
        <v>5</v>
      </c>
      <c r="B215" s="85"/>
      <c r="C215" s="36" t="s">
        <v>505</v>
      </c>
      <c r="D215" s="85" t="s">
        <v>426</v>
      </c>
      <c r="E215" s="85">
        <v>3</v>
      </c>
      <c r="F215" s="33">
        <f t="shared" si="9"/>
        <v>24</v>
      </c>
      <c r="G215" s="86"/>
      <c r="H215" s="80"/>
      <c r="I215" s="80"/>
      <c r="J215" s="272"/>
      <c r="K215" s="86"/>
      <c r="L215" s="86"/>
      <c r="M215" s="80"/>
      <c r="N215" s="80"/>
      <c r="O215" s="80"/>
      <c r="P215" s="80"/>
      <c r="Q215" s="163"/>
    </row>
    <row r="216" spans="1:17" ht="33.75" x14ac:dyDescent="0.25">
      <c r="A216" s="85">
        <v>6</v>
      </c>
      <c r="B216" s="85"/>
      <c r="C216" s="36" t="s">
        <v>506</v>
      </c>
      <c r="D216" s="85" t="s">
        <v>77</v>
      </c>
      <c r="E216" s="85">
        <v>3</v>
      </c>
      <c r="F216" s="33">
        <f t="shared" si="9"/>
        <v>24</v>
      </c>
      <c r="G216" s="86"/>
      <c r="H216" s="80"/>
      <c r="I216" s="80"/>
      <c r="J216" s="272"/>
      <c r="K216" s="86"/>
      <c r="L216" s="86"/>
      <c r="M216" s="80"/>
      <c r="N216" s="80"/>
      <c r="O216" s="80"/>
      <c r="P216" s="80"/>
      <c r="Q216" s="163"/>
    </row>
    <row r="217" spans="1:17" ht="22.5" x14ac:dyDescent="0.25">
      <c r="A217" s="85">
        <v>7</v>
      </c>
      <c r="B217" s="85"/>
      <c r="C217" s="36" t="s">
        <v>507</v>
      </c>
      <c r="D217" s="85" t="s">
        <v>54</v>
      </c>
      <c r="E217" s="85">
        <v>28</v>
      </c>
      <c r="F217" s="33">
        <f t="shared" si="9"/>
        <v>224</v>
      </c>
      <c r="G217" s="86"/>
      <c r="H217" s="80"/>
      <c r="I217" s="80"/>
      <c r="J217" s="272"/>
      <c r="K217" s="86"/>
      <c r="L217" s="86"/>
      <c r="M217" s="80"/>
      <c r="N217" s="80"/>
      <c r="O217" s="80"/>
      <c r="P217" s="80"/>
      <c r="Q217" s="163"/>
    </row>
    <row r="218" spans="1:17" x14ac:dyDescent="0.25">
      <c r="A218" s="85">
        <v>8</v>
      </c>
      <c r="B218" s="85"/>
      <c r="C218" s="36" t="s">
        <v>508</v>
      </c>
      <c r="D218" s="85" t="s">
        <v>77</v>
      </c>
      <c r="E218" s="85">
        <v>8</v>
      </c>
      <c r="F218" s="33">
        <f t="shared" si="9"/>
        <v>64</v>
      </c>
      <c r="G218" s="86"/>
      <c r="H218" s="80"/>
      <c r="I218" s="80"/>
      <c r="J218" s="272"/>
      <c r="K218" s="86"/>
      <c r="L218" s="86"/>
      <c r="M218" s="80"/>
      <c r="N218" s="80"/>
      <c r="O218" s="80"/>
      <c r="P218" s="80"/>
      <c r="Q218" s="163"/>
    </row>
    <row r="219" spans="1:17" x14ac:dyDescent="0.25">
      <c r="A219" s="85">
        <v>9</v>
      </c>
      <c r="B219" s="85"/>
      <c r="C219" s="36" t="s">
        <v>509</v>
      </c>
      <c r="D219" s="85" t="s">
        <v>77</v>
      </c>
      <c r="E219" s="85">
        <v>4</v>
      </c>
      <c r="F219" s="33">
        <f t="shared" si="9"/>
        <v>32</v>
      </c>
      <c r="G219" s="86"/>
      <c r="H219" s="80"/>
      <c r="I219" s="80"/>
      <c r="J219" s="272"/>
      <c r="K219" s="86"/>
      <c r="L219" s="86"/>
      <c r="M219" s="80"/>
      <c r="N219" s="80"/>
      <c r="O219" s="80"/>
      <c r="P219" s="80"/>
      <c r="Q219" s="163"/>
    </row>
    <row r="220" spans="1:17" x14ac:dyDescent="0.25">
      <c r="A220" s="85">
        <v>10</v>
      </c>
      <c r="B220" s="85"/>
      <c r="C220" s="36" t="s">
        <v>510</v>
      </c>
      <c r="D220" s="85" t="s">
        <v>77</v>
      </c>
      <c r="E220" s="85">
        <v>2</v>
      </c>
      <c r="F220" s="33">
        <f t="shared" si="9"/>
        <v>16</v>
      </c>
      <c r="G220" s="86"/>
      <c r="H220" s="80"/>
      <c r="I220" s="80"/>
      <c r="J220" s="272"/>
      <c r="K220" s="86"/>
      <c r="L220" s="86"/>
      <c r="M220" s="80"/>
      <c r="N220" s="80"/>
      <c r="O220" s="80"/>
      <c r="P220" s="80"/>
      <c r="Q220" s="163"/>
    </row>
    <row r="221" spans="1:17" ht="22.5" x14ac:dyDescent="0.25">
      <c r="A221" s="85">
        <v>11</v>
      </c>
      <c r="B221" s="85"/>
      <c r="C221" s="36" t="s">
        <v>511</v>
      </c>
      <c r="D221" s="85" t="s">
        <v>54</v>
      </c>
      <c r="E221" s="85">
        <v>2</v>
      </c>
      <c r="F221" s="33">
        <f t="shared" si="9"/>
        <v>16</v>
      </c>
      <c r="G221" s="86"/>
      <c r="H221" s="80"/>
      <c r="I221" s="80"/>
      <c r="J221" s="267"/>
      <c r="K221" s="86"/>
      <c r="L221" s="86"/>
      <c r="M221" s="80"/>
      <c r="N221" s="80"/>
      <c r="O221" s="80"/>
      <c r="P221" s="80"/>
      <c r="Q221" s="163"/>
    </row>
    <row r="222" spans="1:17" ht="22.5" x14ac:dyDescent="0.25">
      <c r="A222" s="85">
        <v>12</v>
      </c>
      <c r="B222" s="85"/>
      <c r="C222" s="36" t="s">
        <v>512</v>
      </c>
      <c r="D222" s="85" t="s">
        <v>77</v>
      </c>
      <c r="E222" s="85">
        <v>6</v>
      </c>
      <c r="F222" s="33">
        <f t="shared" si="9"/>
        <v>48</v>
      </c>
      <c r="G222" s="80"/>
      <c r="H222" s="80"/>
      <c r="I222" s="80"/>
      <c r="J222" s="272"/>
      <c r="K222" s="86"/>
      <c r="L222" s="86"/>
      <c r="M222" s="80"/>
      <c r="N222" s="80"/>
      <c r="O222" s="80"/>
      <c r="P222" s="80"/>
      <c r="Q222" s="163"/>
    </row>
    <row r="223" spans="1:17" x14ac:dyDescent="0.25">
      <c r="A223" s="85">
        <v>13</v>
      </c>
      <c r="B223" s="85"/>
      <c r="C223" s="36" t="s">
        <v>483</v>
      </c>
      <c r="D223" s="85" t="s">
        <v>426</v>
      </c>
      <c r="E223" s="85">
        <v>1</v>
      </c>
      <c r="F223" s="33">
        <f t="shared" si="9"/>
        <v>8</v>
      </c>
      <c r="G223" s="86"/>
      <c r="H223" s="80"/>
      <c r="I223" s="80"/>
      <c r="J223" s="272"/>
      <c r="K223" s="86"/>
      <c r="L223" s="86"/>
      <c r="M223" s="80"/>
      <c r="N223" s="80"/>
      <c r="O223" s="80"/>
      <c r="P223" s="80"/>
      <c r="Q223" s="163"/>
    </row>
    <row r="224" spans="1:17" x14ac:dyDescent="0.25">
      <c r="A224" s="85">
        <v>14</v>
      </c>
      <c r="B224" s="85"/>
      <c r="C224" s="36" t="s">
        <v>513</v>
      </c>
      <c r="D224" s="85" t="s">
        <v>426</v>
      </c>
      <c r="E224" s="85">
        <v>1</v>
      </c>
      <c r="F224" s="33">
        <f t="shared" si="9"/>
        <v>8</v>
      </c>
      <c r="G224" s="86"/>
      <c r="H224" s="80"/>
      <c r="I224" s="80"/>
      <c r="J224" s="272"/>
      <c r="K224" s="86"/>
      <c r="L224" s="86"/>
      <c r="M224" s="80"/>
      <c r="N224" s="80"/>
      <c r="O224" s="80"/>
      <c r="P224" s="80"/>
      <c r="Q224" s="163"/>
    </row>
    <row r="225" spans="1:17" ht="22.5" x14ac:dyDescent="0.25">
      <c r="A225" s="85">
        <v>15</v>
      </c>
      <c r="B225" s="85"/>
      <c r="C225" s="36" t="s">
        <v>487</v>
      </c>
      <c r="D225" s="85" t="s">
        <v>426</v>
      </c>
      <c r="E225" s="85">
        <v>1</v>
      </c>
      <c r="F225" s="33">
        <f t="shared" si="9"/>
        <v>8</v>
      </c>
      <c r="G225" s="86"/>
      <c r="H225" s="80"/>
      <c r="I225" s="80"/>
      <c r="J225" s="272"/>
      <c r="K225" s="86"/>
      <c r="L225" s="86"/>
      <c r="M225" s="80"/>
      <c r="N225" s="80"/>
      <c r="O225" s="80"/>
      <c r="P225" s="80"/>
      <c r="Q225" s="163"/>
    </row>
    <row r="226" spans="1:17" x14ac:dyDescent="0.25">
      <c r="A226" s="85"/>
      <c r="B226" s="268"/>
      <c r="C226" s="274" t="s">
        <v>531</v>
      </c>
      <c r="D226" s="268"/>
      <c r="E226" s="268"/>
      <c r="F226" s="33"/>
      <c r="G226" s="27"/>
      <c r="H226" s="80"/>
      <c r="I226" s="80"/>
      <c r="J226" s="27"/>
      <c r="K226" s="27"/>
      <c r="L226" s="27"/>
      <c r="M226" s="27"/>
      <c r="N226" s="27"/>
      <c r="O226" s="27"/>
      <c r="P226" s="27"/>
      <c r="Q226" s="27"/>
    </row>
    <row r="227" spans="1:17" hidden="1" x14ac:dyDescent="0.25">
      <c r="A227" s="275"/>
      <c r="B227" s="275"/>
      <c r="C227" s="33" t="s">
        <v>532</v>
      </c>
      <c r="D227" s="85"/>
      <c r="E227" s="85">
        <v>1</v>
      </c>
      <c r="F227" s="33"/>
      <c r="G227" s="27"/>
      <c r="H227" s="80"/>
      <c r="I227" s="80"/>
      <c r="J227" s="27"/>
      <c r="K227" s="27"/>
      <c r="L227" s="27"/>
      <c r="M227" s="27"/>
      <c r="N227" s="27"/>
      <c r="O227" s="27"/>
      <c r="P227" s="27"/>
      <c r="Q227" s="27"/>
    </row>
    <row r="228" spans="1:17" x14ac:dyDescent="0.25">
      <c r="A228" s="85">
        <v>1</v>
      </c>
      <c r="B228" s="85"/>
      <c r="C228" s="234" t="s">
        <v>425</v>
      </c>
      <c r="D228" s="85" t="s">
        <v>426</v>
      </c>
      <c r="E228" s="85">
        <v>1</v>
      </c>
      <c r="F228" s="33">
        <f t="shared" ref="F228:F240" si="10">E228</f>
        <v>1</v>
      </c>
      <c r="G228" s="86"/>
      <c r="H228" s="80"/>
      <c r="I228" s="80"/>
      <c r="J228" s="272"/>
      <c r="K228" s="86"/>
      <c r="L228" s="86"/>
      <c r="M228" s="80"/>
      <c r="N228" s="80"/>
      <c r="O228" s="80"/>
      <c r="P228" s="80"/>
      <c r="Q228" s="163"/>
    </row>
    <row r="229" spans="1:17" ht="33.75" x14ac:dyDescent="0.25">
      <c r="A229" s="85">
        <v>2</v>
      </c>
      <c r="B229" s="85"/>
      <c r="C229" s="36" t="s">
        <v>533</v>
      </c>
      <c r="D229" s="85" t="s">
        <v>426</v>
      </c>
      <c r="E229" s="85">
        <v>1</v>
      </c>
      <c r="F229" s="33">
        <f t="shared" si="10"/>
        <v>1</v>
      </c>
      <c r="G229" s="86"/>
      <c r="H229" s="80"/>
      <c r="I229" s="80"/>
      <c r="J229" s="272"/>
      <c r="K229" s="86"/>
      <c r="L229" s="86"/>
      <c r="M229" s="80"/>
      <c r="N229" s="80"/>
      <c r="O229" s="80"/>
      <c r="P229" s="80"/>
      <c r="Q229" s="163"/>
    </row>
    <row r="230" spans="1:17" ht="33.75" x14ac:dyDescent="0.25">
      <c r="A230" s="85">
        <v>3</v>
      </c>
      <c r="B230" s="85"/>
      <c r="C230" s="36" t="s">
        <v>528</v>
      </c>
      <c r="D230" s="85" t="s">
        <v>426</v>
      </c>
      <c r="E230" s="85">
        <v>1</v>
      </c>
      <c r="F230" s="33">
        <f t="shared" si="10"/>
        <v>1</v>
      </c>
      <c r="G230" s="86"/>
      <c r="H230" s="80"/>
      <c r="I230" s="80"/>
      <c r="J230" s="272"/>
      <c r="K230" s="86"/>
      <c r="L230" s="86"/>
      <c r="M230" s="80"/>
      <c r="N230" s="80"/>
      <c r="O230" s="80"/>
      <c r="P230" s="80"/>
      <c r="Q230" s="163"/>
    </row>
    <row r="231" spans="1:17" ht="33.75" x14ac:dyDescent="0.25">
      <c r="A231" s="85">
        <v>4</v>
      </c>
      <c r="B231" s="85"/>
      <c r="C231" s="36" t="s">
        <v>505</v>
      </c>
      <c r="D231" s="85" t="s">
        <v>426</v>
      </c>
      <c r="E231" s="85">
        <v>2</v>
      </c>
      <c r="F231" s="33">
        <f t="shared" si="10"/>
        <v>2</v>
      </c>
      <c r="G231" s="86"/>
      <c r="H231" s="80"/>
      <c r="I231" s="80"/>
      <c r="J231" s="272"/>
      <c r="K231" s="86"/>
      <c r="L231" s="86"/>
      <c r="M231" s="80"/>
      <c r="N231" s="80"/>
      <c r="O231" s="80"/>
      <c r="P231" s="80"/>
      <c r="Q231" s="163"/>
    </row>
    <row r="232" spans="1:17" ht="20.25" customHeight="1" x14ac:dyDescent="0.25">
      <c r="A232" s="85">
        <v>5</v>
      </c>
      <c r="B232" s="85"/>
      <c r="C232" s="36" t="s">
        <v>506</v>
      </c>
      <c r="D232" s="85" t="s">
        <v>77</v>
      </c>
      <c r="E232" s="85">
        <v>2</v>
      </c>
      <c r="F232" s="33">
        <f t="shared" si="10"/>
        <v>2</v>
      </c>
      <c r="G232" s="86"/>
      <c r="H232" s="80"/>
      <c r="I232" s="80"/>
      <c r="J232" s="272"/>
      <c r="K232" s="86"/>
      <c r="L232" s="86"/>
      <c r="M232" s="80"/>
      <c r="N232" s="80"/>
      <c r="O232" s="80"/>
      <c r="P232" s="80"/>
      <c r="Q232" s="163"/>
    </row>
    <row r="233" spans="1:17" ht="22.5" x14ac:dyDescent="0.25">
      <c r="A233" s="85">
        <v>6</v>
      </c>
      <c r="B233" s="85"/>
      <c r="C233" s="36" t="s">
        <v>507</v>
      </c>
      <c r="D233" s="85" t="s">
        <v>54</v>
      </c>
      <c r="E233" s="85">
        <v>20</v>
      </c>
      <c r="F233" s="33">
        <f t="shared" si="10"/>
        <v>20</v>
      </c>
      <c r="G233" s="86"/>
      <c r="H233" s="80"/>
      <c r="I233" s="80"/>
      <c r="J233" s="272"/>
      <c r="K233" s="86"/>
      <c r="L233" s="86"/>
      <c r="M233" s="80"/>
      <c r="N233" s="80"/>
      <c r="O233" s="80"/>
      <c r="P233" s="80"/>
      <c r="Q233" s="163"/>
    </row>
    <row r="234" spans="1:17" x14ac:dyDescent="0.25">
      <c r="A234" s="85">
        <v>7</v>
      </c>
      <c r="B234" s="85"/>
      <c r="C234" s="36" t="s">
        <v>508</v>
      </c>
      <c r="D234" s="85" t="s">
        <v>77</v>
      </c>
      <c r="E234" s="85">
        <v>10</v>
      </c>
      <c r="F234" s="33">
        <f t="shared" si="10"/>
        <v>10</v>
      </c>
      <c r="G234" s="86"/>
      <c r="H234" s="80"/>
      <c r="I234" s="80"/>
      <c r="J234" s="272"/>
      <c r="K234" s="86"/>
      <c r="L234" s="86"/>
      <c r="M234" s="80"/>
      <c r="N234" s="80"/>
      <c r="O234" s="80"/>
      <c r="P234" s="80"/>
      <c r="Q234" s="163"/>
    </row>
    <row r="235" spans="1:17" x14ac:dyDescent="0.25">
      <c r="A235" s="85">
        <v>8</v>
      </c>
      <c r="B235" s="85"/>
      <c r="C235" s="36" t="s">
        <v>509</v>
      </c>
      <c r="D235" s="85" t="s">
        <v>77</v>
      </c>
      <c r="E235" s="85">
        <v>2</v>
      </c>
      <c r="F235" s="33">
        <f t="shared" si="10"/>
        <v>2</v>
      </c>
      <c r="G235" s="86"/>
      <c r="H235" s="80"/>
      <c r="I235" s="80"/>
      <c r="J235" s="272"/>
      <c r="K235" s="86"/>
      <c r="L235" s="86"/>
      <c r="M235" s="80"/>
      <c r="N235" s="80"/>
      <c r="O235" s="80"/>
      <c r="P235" s="80"/>
      <c r="Q235" s="163"/>
    </row>
    <row r="236" spans="1:17" x14ac:dyDescent="0.25">
      <c r="A236" s="85">
        <v>9</v>
      </c>
      <c r="B236" s="85"/>
      <c r="C236" s="36" t="s">
        <v>510</v>
      </c>
      <c r="D236" s="85" t="s">
        <v>77</v>
      </c>
      <c r="E236" s="85">
        <v>2</v>
      </c>
      <c r="F236" s="33">
        <f t="shared" si="10"/>
        <v>2</v>
      </c>
      <c r="G236" s="86"/>
      <c r="H236" s="80"/>
      <c r="I236" s="80"/>
      <c r="J236" s="272"/>
      <c r="K236" s="86"/>
      <c r="L236" s="86"/>
      <c r="M236" s="80"/>
      <c r="N236" s="80"/>
      <c r="O236" s="80"/>
      <c r="P236" s="80"/>
      <c r="Q236" s="163"/>
    </row>
    <row r="237" spans="1:17" ht="22.5" x14ac:dyDescent="0.25">
      <c r="A237" s="85">
        <v>10</v>
      </c>
      <c r="B237" s="85"/>
      <c r="C237" s="36" t="s">
        <v>512</v>
      </c>
      <c r="D237" s="85" t="s">
        <v>77</v>
      </c>
      <c r="E237" s="85">
        <v>4</v>
      </c>
      <c r="F237" s="33">
        <f t="shared" si="10"/>
        <v>4</v>
      </c>
      <c r="G237" s="86"/>
      <c r="H237" s="80"/>
      <c r="I237" s="80"/>
      <c r="J237" s="267"/>
      <c r="K237" s="86"/>
      <c r="L237" s="86"/>
      <c r="M237" s="80"/>
      <c r="N237" s="80"/>
      <c r="O237" s="80"/>
      <c r="P237" s="80"/>
      <c r="Q237" s="163"/>
    </row>
    <row r="238" spans="1:17" x14ac:dyDescent="0.25">
      <c r="A238" s="85">
        <v>11</v>
      </c>
      <c r="B238" s="85"/>
      <c r="C238" s="36" t="s">
        <v>483</v>
      </c>
      <c r="D238" s="85" t="s">
        <v>426</v>
      </c>
      <c r="E238" s="85">
        <v>1</v>
      </c>
      <c r="F238" s="33">
        <f t="shared" si="10"/>
        <v>1</v>
      </c>
      <c r="G238" s="80"/>
      <c r="H238" s="80"/>
      <c r="I238" s="80"/>
      <c r="J238" s="272"/>
      <c r="K238" s="86"/>
      <c r="L238" s="86"/>
      <c r="M238" s="80"/>
      <c r="N238" s="80"/>
      <c r="O238" s="80"/>
      <c r="P238" s="80"/>
      <c r="Q238" s="163"/>
    </row>
    <row r="239" spans="1:17" x14ac:dyDescent="0.25">
      <c r="A239" s="85">
        <v>12</v>
      </c>
      <c r="B239" s="85"/>
      <c r="C239" s="36" t="s">
        <v>513</v>
      </c>
      <c r="D239" s="85" t="s">
        <v>426</v>
      </c>
      <c r="E239" s="85">
        <v>1</v>
      </c>
      <c r="F239" s="33">
        <f t="shared" si="10"/>
        <v>1</v>
      </c>
      <c r="G239" s="86"/>
      <c r="H239" s="80"/>
      <c r="I239" s="80"/>
      <c r="J239" s="272"/>
      <c r="K239" s="86"/>
      <c r="L239" s="86"/>
      <c r="M239" s="80"/>
      <c r="N239" s="80"/>
      <c r="O239" s="80"/>
      <c r="P239" s="80"/>
      <c r="Q239" s="163"/>
    </row>
    <row r="240" spans="1:17" ht="23.1" customHeight="1" x14ac:dyDescent="0.25">
      <c r="A240" s="85">
        <v>13</v>
      </c>
      <c r="B240" s="85"/>
      <c r="C240" s="36" t="s">
        <v>487</v>
      </c>
      <c r="D240" s="85" t="s">
        <v>426</v>
      </c>
      <c r="E240" s="85">
        <v>1</v>
      </c>
      <c r="F240" s="33">
        <f t="shared" si="10"/>
        <v>1</v>
      </c>
      <c r="G240" s="86"/>
      <c r="H240" s="80"/>
      <c r="I240" s="80"/>
      <c r="J240" s="272"/>
      <c r="K240" s="86"/>
      <c r="L240" s="86"/>
      <c r="M240" s="80"/>
      <c r="N240" s="80"/>
      <c r="O240" s="80"/>
      <c r="P240" s="80"/>
      <c r="Q240" s="163"/>
    </row>
    <row r="241" spans="1:17" x14ac:dyDescent="0.25">
      <c r="A241" s="27"/>
      <c r="B241" s="27"/>
      <c r="C241" s="27"/>
      <c r="D241" s="27"/>
      <c r="E241" s="27"/>
      <c r="F241" s="27"/>
      <c r="G241" s="27"/>
      <c r="H241" s="27"/>
      <c r="I241" s="27"/>
      <c r="J241" s="27"/>
      <c r="K241" s="27"/>
      <c r="L241" s="27"/>
      <c r="M241" s="27"/>
      <c r="N241" s="27"/>
      <c r="O241" s="27"/>
      <c r="P241" s="27"/>
      <c r="Q241" s="27"/>
    </row>
    <row r="242" spans="1:17" x14ac:dyDescent="0.25">
      <c r="A242" s="27"/>
      <c r="B242" s="31"/>
      <c r="C242" s="27"/>
      <c r="D242" s="155"/>
      <c r="E242" s="18" t="s">
        <v>534</v>
      </c>
      <c r="F242" s="155"/>
      <c r="G242" s="155"/>
      <c r="H242" s="155"/>
      <c r="I242" s="155"/>
      <c r="J242" s="155"/>
      <c r="K242" s="155"/>
      <c r="L242" s="155"/>
      <c r="M242" s="276">
        <f>SUM(M14:M241)</f>
        <v>0</v>
      </c>
      <c r="N242" s="276">
        <f>SUM(N14:N241)</f>
        <v>0</v>
      </c>
      <c r="O242" s="276">
        <f>SUM(O14:O241)</f>
        <v>0</v>
      </c>
      <c r="P242" s="276">
        <f>SUM(P14:P241)</f>
        <v>0</v>
      </c>
      <c r="Q242" s="276">
        <f>SUM(Q14:Q241)</f>
        <v>0</v>
      </c>
    </row>
    <row r="243" spans="1:17" x14ac:dyDescent="0.25">
      <c r="A243" s="27"/>
      <c r="B243" s="31"/>
      <c r="C243" s="27"/>
      <c r="D243" s="26"/>
      <c r="E243" s="54" t="s">
        <v>535</v>
      </c>
      <c r="F243" s="44"/>
      <c r="G243" s="44">
        <v>0</v>
      </c>
      <c r="H243" s="26"/>
      <c r="I243" s="26"/>
      <c r="J243" s="26"/>
      <c r="K243" s="26"/>
      <c r="L243" s="26"/>
      <c r="M243" s="276"/>
      <c r="N243" s="276"/>
      <c r="O243" s="276">
        <f>O242*G243</f>
        <v>0</v>
      </c>
      <c r="P243" s="276"/>
      <c r="Q243" s="276"/>
    </row>
    <row r="244" spans="1:17" x14ac:dyDescent="0.25">
      <c r="A244" s="27"/>
      <c r="B244" s="31"/>
      <c r="C244" s="27"/>
      <c r="D244" s="155"/>
      <c r="E244" s="18" t="s">
        <v>103</v>
      </c>
      <c r="F244" s="26"/>
      <c r="G244" s="26"/>
      <c r="H244" s="26"/>
      <c r="I244" s="26"/>
      <c r="J244" s="26"/>
      <c r="K244" s="26"/>
      <c r="L244" s="26"/>
      <c r="M244" s="276">
        <f>SUM(M242:M243)</f>
        <v>0</v>
      </c>
      <c r="N244" s="276">
        <f>SUM(N242:N243)</f>
        <v>0</v>
      </c>
      <c r="O244" s="276">
        <f>SUM(O242:O243)</f>
        <v>0</v>
      </c>
      <c r="P244" s="276">
        <f>SUM(P242:P243)</f>
        <v>0</v>
      </c>
      <c r="Q244" s="276">
        <f>SUM(N244:P244)</f>
        <v>0</v>
      </c>
    </row>
    <row r="245" spans="1:17" x14ac:dyDescent="0.25">
      <c r="A245" s="27"/>
      <c r="B245" s="31"/>
      <c r="C245" s="27"/>
      <c r="D245" s="25"/>
      <c r="E245" s="25"/>
      <c r="F245" s="25"/>
      <c r="G245" s="25"/>
      <c r="H245" s="25"/>
      <c r="I245" s="27"/>
      <c r="J245" s="263"/>
      <c r="K245" s="156"/>
      <c r="L245" s="156"/>
      <c r="M245" s="248"/>
      <c r="N245" s="248"/>
      <c r="O245" s="248"/>
      <c r="P245" s="248"/>
      <c r="Q245" s="248"/>
    </row>
    <row r="246" spans="1:17" x14ac:dyDescent="0.25">
      <c r="A246" s="27"/>
      <c r="B246" s="31"/>
      <c r="C246" s="53" t="s">
        <v>27</v>
      </c>
      <c r="D246" s="23"/>
      <c r="E246" s="27"/>
      <c r="F246" s="277"/>
      <c r="G246" s="277"/>
      <c r="H246" s="27"/>
      <c r="I246" s="27"/>
      <c r="J246" s="27"/>
      <c r="K246" s="27"/>
      <c r="L246" s="25"/>
      <c r="M246" s="25"/>
      <c r="N246" s="25"/>
      <c r="O246" s="27"/>
      <c r="P246" s="27"/>
      <c r="Q246" s="25"/>
    </row>
    <row r="247" spans="1:17" x14ac:dyDescent="0.25">
      <c r="A247" s="27"/>
      <c r="B247" s="31"/>
      <c r="C247" s="54" t="s">
        <v>28</v>
      </c>
      <c r="D247" s="23"/>
      <c r="E247" s="27"/>
      <c r="F247" s="27"/>
      <c r="G247" s="27"/>
      <c r="H247" s="27"/>
      <c r="I247" s="27"/>
      <c r="J247" s="27"/>
      <c r="K247" s="27"/>
      <c r="L247" s="25"/>
      <c r="M247" s="25"/>
      <c r="N247" s="25"/>
      <c r="O247" s="27"/>
      <c r="P247" s="27"/>
      <c r="Q247" s="25"/>
    </row>
    <row r="248" spans="1:17" x14ac:dyDescent="0.25">
      <c r="A248" s="27"/>
      <c r="B248" s="31"/>
      <c r="C248" s="43"/>
      <c r="D248" s="23"/>
      <c r="E248" s="27"/>
      <c r="F248" s="27"/>
      <c r="G248" s="27"/>
      <c r="H248" s="27"/>
      <c r="I248" s="27"/>
      <c r="J248" s="27"/>
      <c r="K248" s="27"/>
      <c r="L248" s="27"/>
      <c r="M248" s="27"/>
      <c r="N248" s="27"/>
      <c r="O248" s="27"/>
      <c r="P248" s="27"/>
      <c r="Q248" s="27"/>
    </row>
    <row r="249" spans="1:17" x14ac:dyDescent="0.25">
      <c r="A249" s="27"/>
      <c r="B249" s="31"/>
      <c r="C249" s="55" t="s">
        <v>29</v>
      </c>
      <c r="D249" s="23"/>
      <c r="E249" s="27"/>
      <c r="F249" s="277"/>
      <c r="G249" s="277"/>
      <c r="H249" s="27"/>
      <c r="I249" s="27"/>
      <c r="J249" s="27"/>
      <c r="K249" s="27"/>
      <c r="L249" s="27"/>
      <c r="M249" s="27"/>
      <c r="N249" s="27"/>
      <c r="O249" s="27"/>
      <c r="P249" s="27"/>
      <c r="Q249" s="27"/>
    </row>
    <row r="250" spans="1:17" x14ac:dyDescent="0.25">
      <c r="A250" s="27"/>
      <c r="B250" s="31"/>
      <c r="C250" s="48" t="s">
        <v>30</v>
      </c>
      <c r="D250" s="23"/>
      <c r="E250" s="27"/>
      <c r="F250" s="27"/>
      <c r="G250" s="27"/>
      <c r="H250" s="27"/>
      <c r="I250" s="27"/>
      <c r="J250" s="27"/>
      <c r="K250" s="27"/>
      <c r="L250" s="27"/>
      <c r="M250" s="27"/>
      <c r="N250" s="264"/>
      <c r="O250" s="27"/>
      <c r="P250" s="264"/>
      <c r="Q250" s="27"/>
    </row>
  </sheetData>
  <mergeCells count="8">
    <mergeCell ref="G11:L11"/>
    <mergeCell ref="M11:Q11"/>
    <mergeCell ref="E13:F13"/>
    <mergeCell ref="A11:A12"/>
    <mergeCell ref="B11:B12"/>
    <mergeCell ref="C11:C12"/>
    <mergeCell ref="D11:D12"/>
    <mergeCell ref="E11:F12"/>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22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MK49"/>
  <sheetViews>
    <sheetView topLeftCell="A13" zoomScaleNormal="100" workbookViewId="0">
      <selection activeCell="C30" sqref="C30"/>
    </sheetView>
  </sheetViews>
  <sheetFormatPr defaultRowHeight="15" x14ac:dyDescent="0.25"/>
  <cols>
    <col min="1" max="1" width="3.7109375" style="16"/>
    <col min="2" max="2" width="4.85546875" style="16"/>
    <col min="3" max="3" width="48.85546875" style="249"/>
    <col min="4" max="5" width="4.5703125" style="16"/>
    <col min="6" max="6" width="8.7109375" style="57"/>
    <col min="7" max="16" width="8.7109375" style="16"/>
    <col min="17" max="248" width="8" style="16"/>
    <col min="249" max="1020" width="3.7109375" style="16"/>
    <col min="1021" max="1025" width="8.7109375" style="58"/>
  </cols>
  <sheetData>
    <row r="1" spans="1:1024" s="19" customFormat="1" ht="11.25" x14ac:dyDescent="0.25">
      <c r="A1" s="14" t="s">
        <v>31</v>
      </c>
      <c r="B1" s="14"/>
      <c r="C1" s="14"/>
      <c r="D1" s="14"/>
      <c r="E1" s="14"/>
      <c r="F1" s="14"/>
      <c r="G1" s="18">
        <f>KPDV!A22</f>
        <v>10</v>
      </c>
      <c r="H1" s="18"/>
      <c r="I1" s="18"/>
      <c r="J1" s="18"/>
      <c r="K1" s="18"/>
    </row>
    <row r="2" spans="1:1024" s="21" customFormat="1" ht="11.25" x14ac:dyDescent="0.25">
      <c r="A2" s="20"/>
      <c r="B2" s="20"/>
      <c r="C2" s="20" t="s">
        <v>536</v>
      </c>
      <c r="D2" s="20"/>
      <c r="E2" s="20"/>
      <c r="F2" s="20"/>
      <c r="G2" s="20"/>
      <c r="H2" s="20"/>
      <c r="I2" s="20"/>
      <c r="J2" s="20"/>
      <c r="K2" s="20"/>
    </row>
    <row r="3" spans="1:1024" s="23" customFormat="1" ht="11.25" x14ac:dyDescent="0.25">
      <c r="A3" s="23" t="str">
        <f>KPDV!A3</f>
        <v>Būves nosaukums: Daudzdzīvokļu dzīvojamās mājas fasādes vienkāršotā atjaunošana</v>
      </c>
    </row>
    <row r="4" spans="1:1024" s="23" customFormat="1" ht="18.600000000000001" customHeight="1" x14ac:dyDescent="0.25">
      <c r="A4" s="23" t="str">
        <f>KPDV!A4</f>
        <v>Objekta nosaukums: Daudzdzīvokļu dzīvojamās mājas Ed. Tisē ielā 48, Liepājā, 
fasādes vienkāršotā atjaunošana</v>
      </c>
    </row>
    <row r="5" spans="1:1024" s="212" customFormat="1" x14ac:dyDescent="0.25">
      <c r="A5" s="27" t="str">
        <f>KPDV!A5</f>
        <v>Objekta adrese: Tisē iela 48 Liepājā</v>
      </c>
      <c r="B5" s="27"/>
      <c r="C5" s="195"/>
      <c r="D5" s="27"/>
      <c r="E5" s="27"/>
      <c r="F5" s="27"/>
      <c r="G5" s="27"/>
      <c r="H5" s="27"/>
      <c r="I5" s="27"/>
      <c r="J5" s="27"/>
      <c r="K5" s="27"/>
      <c r="L5" s="27"/>
      <c r="M5" s="27"/>
      <c r="N5" s="27"/>
      <c r="O5" s="27"/>
      <c r="P5" s="27"/>
      <c r="AMF5"/>
      <c r="AMG5"/>
      <c r="AMH5"/>
      <c r="AMI5"/>
      <c r="AMJ5"/>
    </row>
    <row r="6" spans="1:1024" s="212" customFormat="1" x14ac:dyDescent="0.25">
      <c r="A6" s="27" t="str">
        <f>KPDV!A6</f>
        <v>Pasūtījuma Nr.WS-64-15</v>
      </c>
      <c r="B6" s="27"/>
      <c r="C6" s="195"/>
      <c r="D6" s="27"/>
      <c r="E6" s="27"/>
      <c r="F6" s="27"/>
      <c r="G6" s="27"/>
      <c r="H6" s="27"/>
      <c r="I6" s="27"/>
      <c r="J6" s="27"/>
      <c r="K6" s="27"/>
      <c r="L6" s="27"/>
      <c r="M6" s="27"/>
      <c r="N6" s="27"/>
      <c r="O6" s="27"/>
      <c r="P6" s="27"/>
      <c r="AMF6"/>
      <c r="AMG6"/>
      <c r="AMH6"/>
      <c r="AMI6"/>
      <c r="AMJ6"/>
    </row>
    <row r="7" spans="1:1024" s="212" customFormat="1" x14ac:dyDescent="0.25">
      <c r="A7" s="27" t="str">
        <f>KPDV!A7</f>
        <v>Pasūtītājs: SIA "Liepājas namu apsaimniekotājs"</v>
      </c>
      <c r="B7" s="27"/>
      <c r="C7" s="195"/>
      <c r="D7" s="27"/>
      <c r="E7" s="27"/>
      <c r="F7" s="27"/>
      <c r="G7" s="27"/>
      <c r="H7" s="27"/>
      <c r="I7" s="27"/>
      <c r="J7" s="27"/>
      <c r="K7" s="27"/>
      <c r="L7" s="27"/>
      <c r="M7" s="27"/>
      <c r="N7" s="27"/>
      <c r="O7" s="27"/>
      <c r="P7" s="27"/>
      <c r="AMF7"/>
      <c r="AMG7"/>
      <c r="AMH7"/>
      <c r="AMI7"/>
      <c r="AMJ7"/>
    </row>
    <row r="8" spans="1:1024" s="212" customFormat="1" x14ac:dyDescent="0.25">
      <c r="A8" s="27"/>
      <c r="B8" s="27"/>
      <c r="C8" s="61" t="s">
        <v>33</v>
      </c>
      <c r="D8" s="23" t="s">
        <v>537</v>
      </c>
      <c r="E8" s="63" t="s">
        <v>35</v>
      </c>
      <c r="F8" s="27"/>
      <c r="G8" s="27"/>
      <c r="H8" s="27"/>
      <c r="I8" s="27"/>
      <c r="J8" s="27"/>
      <c r="K8" s="27"/>
      <c r="L8" s="27"/>
      <c r="M8" s="27"/>
      <c r="N8" s="27"/>
      <c r="O8" s="27"/>
      <c r="P8" s="27"/>
      <c r="AMF8"/>
      <c r="AMG8"/>
      <c r="AMH8"/>
      <c r="AMI8"/>
      <c r="AMJ8"/>
    </row>
    <row r="9" spans="1:1024" s="212" customFormat="1" x14ac:dyDescent="0.25">
      <c r="A9" s="9" t="str">
        <f>AR!A9</f>
        <v>Tāmes izmaksas euro:</v>
      </c>
      <c r="B9" s="9"/>
      <c r="C9" s="9"/>
      <c r="D9" s="9"/>
      <c r="E9" s="9"/>
      <c r="F9" s="9"/>
      <c r="G9" s="9"/>
      <c r="H9" s="9"/>
      <c r="I9" s="9"/>
      <c r="J9" s="9"/>
      <c r="K9" s="9"/>
      <c r="L9" s="9"/>
      <c r="M9" s="9"/>
      <c r="N9" s="9"/>
      <c r="O9" s="9"/>
      <c r="P9" s="64">
        <f>P43</f>
        <v>0</v>
      </c>
      <c r="AMF9"/>
      <c r="AMG9"/>
      <c r="AMH9"/>
      <c r="AMI9"/>
      <c r="AMJ9"/>
    </row>
    <row r="10" spans="1:1024" s="27" customFormat="1" ht="11.25" x14ac:dyDescent="0.25">
      <c r="B10" s="155"/>
      <c r="C10" s="155"/>
      <c r="D10" s="155"/>
      <c r="E10" s="155"/>
      <c r="F10" s="155"/>
      <c r="G10" s="155"/>
      <c r="H10" s="155"/>
      <c r="I10" s="155"/>
      <c r="J10" s="155"/>
      <c r="K10" s="155"/>
      <c r="L10" s="155"/>
      <c r="M10" s="155"/>
      <c r="N10" s="155"/>
      <c r="O10" s="155"/>
      <c r="P10" s="43" t="str">
        <f>KPDV!B10</f>
        <v>Tāme sastādīta  201_.gada ___.______________</v>
      </c>
    </row>
    <row r="11" spans="1:1024" s="23" customFormat="1" ht="10.15" customHeight="1" x14ac:dyDescent="0.25">
      <c r="A11" s="301" t="s">
        <v>37</v>
      </c>
      <c r="B11" s="301" t="s">
        <v>38</v>
      </c>
      <c r="C11" s="302" t="s">
        <v>39</v>
      </c>
      <c r="D11" s="303" t="s">
        <v>40</v>
      </c>
      <c r="E11" s="301" t="s">
        <v>41</v>
      </c>
      <c r="F11" s="304" t="s">
        <v>42</v>
      </c>
      <c r="G11" s="304"/>
      <c r="H11" s="304"/>
      <c r="I11" s="304"/>
      <c r="J11" s="304"/>
      <c r="K11" s="304"/>
      <c r="L11" s="304" t="s">
        <v>43</v>
      </c>
      <c r="M11" s="304"/>
      <c r="N11" s="304"/>
      <c r="O11" s="304"/>
      <c r="P11" s="304"/>
    </row>
    <row r="12" spans="1:1024" ht="54" x14ac:dyDescent="0.25">
      <c r="A12" s="301"/>
      <c r="B12" s="301"/>
      <c r="C12" s="302"/>
      <c r="D12" s="303"/>
      <c r="E12" s="301"/>
      <c r="F12" s="214" t="s">
        <v>44</v>
      </c>
      <c r="G12" s="214" t="s">
        <v>45</v>
      </c>
      <c r="H12" s="215" t="s">
        <v>46</v>
      </c>
      <c r="I12" s="215" t="s">
        <v>47</v>
      </c>
      <c r="J12" s="215" t="s">
        <v>48</v>
      </c>
      <c r="K12" s="215" t="s">
        <v>49</v>
      </c>
      <c r="L12" s="214" t="s">
        <v>50</v>
      </c>
      <c r="M12" s="215" t="s">
        <v>46</v>
      </c>
      <c r="N12" s="215" t="s">
        <v>47</v>
      </c>
      <c r="O12" s="215" t="s">
        <v>48</v>
      </c>
      <c r="P12" s="215" t="s">
        <v>51</v>
      </c>
    </row>
    <row r="13" spans="1:1024" x14ac:dyDescent="0.25">
      <c r="A13" s="278">
        <v>1</v>
      </c>
      <c r="B13" s="278">
        <f t="shared" ref="B13:P13" si="0">A13+1</f>
        <v>2</v>
      </c>
      <c r="C13" s="279">
        <f t="shared" si="0"/>
        <v>3</v>
      </c>
      <c r="D13" s="85">
        <f t="shared" si="0"/>
        <v>4</v>
      </c>
      <c r="E13" s="85">
        <f t="shared" si="0"/>
        <v>5</v>
      </c>
      <c r="F13" s="85">
        <f t="shared" si="0"/>
        <v>6</v>
      </c>
      <c r="G13" s="85">
        <f t="shared" si="0"/>
        <v>7</v>
      </c>
      <c r="H13" s="85">
        <f t="shared" si="0"/>
        <v>8</v>
      </c>
      <c r="I13" s="85">
        <f t="shared" si="0"/>
        <v>9</v>
      </c>
      <c r="J13" s="85">
        <f t="shared" si="0"/>
        <v>10</v>
      </c>
      <c r="K13" s="85">
        <f t="shared" si="0"/>
        <v>11</v>
      </c>
      <c r="L13" s="85">
        <f t="shared" si="0"/>
        <v>12</v>
      </c>
      <c r="M13" s="85">
        <f t="shared" si="0"/>
        <v>13</v>
      </c>
      <c r="N13" s="85">
        <f t="shared" si="0"/>
        <v>14</v>
      </c>
      <c r="O13" s="85">
        <f t="shared" si="0"/>
        <v>15</v>
      </c>
      <c r="P13" s="85">
        <f t="shared" si="0"/>
        <v>16</v>
      </c>
    </row>
    <row r="14" spans="1:1024" ht="15" customHeight="1" x14ac:dyDescent="0.25">
      <c r="A14" s="280"/>
      <c r="B14" s="281"/>
      <c r="C14" s="282" t="s">
        <v>538</v>
      </c>
      <c r="D14" s="281"/>
      <c r="E14" s="280"/>
      <c r="F14" s="283"/>
      <c r="G14" s="280"/>
      <c r="H14" s="280"/>
      <c r="I14" s="280"/>
      <c r="J14" s="280"/>
      <c r="K14" s="280"/>
      <c r="L14" s="280"/>
      <c r="M14" s="280"/>
      <c r="N14" s="280"/>
      <c r="O14" s="280"/>
      <c r="P14" s="280"/>
    </row>
    <row r="15" spans="1:1024" ht="23.25" x14ac:dyDescent="0.25">
      <c r="A15" s="284">
        <f>IF(COUNTBLANK(B15)=1," ",COUNTA($B$14:B15))</f>
        <v>1</v>
      </c>
      <c r="B15" s="285" t="s">
        <v>52</v>
      </c>
      <c r="C15" s="286" t="s">
        <v>539</v>
      </c>
      <c r="D15" s="287" t="s">
        <v>336</v>
      </c>
      <c r="E15" s="287">
        <v>3</v>
      </c>
      <c r="F15" s="86"/>
      <c r="G15" s="86"/>
      <c r="H15" s="86"/>
      <c r="I15" s="86"/>
      <c r="J15" s="86"/>
      <c r="K15" s="86"/>
      <c r="L15" s="86"/>
      <c r="M15" s="86"/>
      <c r="N15" s="86"/>
      <c r="O15" s="86"/>
      <c r="P15" s="86"/>
    </row>
    <row r="16" spans="1:1024" ht="34.5" x14ac:dyDescent="0.25">
      <c r="A16" s="284">
        <f>IF(COUNTBLANK(B16)=1," ",COUNTA($B$14:B16))</f>
        <v>2</v>
      </c>
      <c r="B16" s="285" t="s">
        <v>52</v>
      </c>
      <c r="C16" s="286" t="s">
        <v>540</v>
      </c>
      <c r="D16" s="287" t="s">
        <v>336</v>
      </c>
      <c r="E16" s="287">
        <v>3</v>
      </c>
      <c r="F16" s="86"/>
      <c r="G16" s="86"/>
      <c r="H16" s="86"/>
      <c r="I16" s="86"/>
      <c r="J16" s="86"/>
      <c r="K16" s="86"/>
      <c r="L16" s="86"/>
      <c r="M16" s="86"/>
      <c r="N16" s="86"/>
      <c r="O16" s="86"/>
      <c r="P16" s="86"/>
    </row>
    <row r="17" spans="1:16" ht="23.25" x14ac:dyDescent="0.25">
      <c r="A17" s="284">
        <f>IF(COUNTBLANK(B17)=1," ",COUNTA($B$14:B17))</f>
        <v>3</v>
      </c>
      <c r="B17" s="285" t="s">
        <v>52</v>
      </c>
      <c r="C17" s="286" t="s">
        <v>541</v>
      </c>
      <c r="D17" s="287" t="s">
        <v>336</v>
      </c>
      <c r="E17" s="287">
        <v>3</v>
      </c>
      <c r="F17" s="86"/>
      <c r="G17" s="86"/>
      <c r="H17" s="86"/>
      <c r="I17" s="86"/>
      <c r="J17" s="86"/>
      <c r="K17" s="86"/>
      <c r="L17" s="86"/>
      <c r="M17" s="86"/>
      <c r="N17" s="86"/>
      <c r="O17" s="86"/>
      <c r="P17" s="86"/>
    </row>
    <row r="18" spans="1:16" ht="23.25" x14ac:dyDescent="0.25">
      <c r="A18" s="284">
        <f>IF(COUNTBLANK(B18)=1," ",COUNTA($B$14:B18))</f>
        <v>4</v>
      </c>
      <c r="B18" s="285" t="s">
        <v>52</v>
      </c>
      <c r="C18" s="286" t="s">
        <v>542</v>
      </c>
      <c r="D18" s="287" t="s">
        <v>54</v>
      </c>
      <c r="E18" s="287">
        <v>240</v>
      </c>
      <c r="F18" s="86"/>
      <c r="G18" s="86"/>
      <c r="H18" s="86"/>
      <c r="I18" s="86"/>
      <c r="J18" s="86"/>
      <c r="K18" s="86"/>
      <c r="L18" s="86"/>
      <c r="M18" s="86"/>
      <c r="N18" s="86"/>
      <c r="O18" s="86"/>
      <c r="P18" s="86"/>
    </row>
    <row r="19" spans="1:16" ht="23.25" x14ac:dyDescent="0.25">
      <c r="A19" s="284">
        <f>IF(COUNTBLANK(B19)=1," ",COUNTA($B$14:B19))</f>
        <v>5</v>
      </c>
      <c r="B19" s="285" t="s">
        <v>52</v>
      </c>
      <c r="C19" s="286" t="s">
        <v>543</v>
      </c>
      <c r="D19" s="287" t="s">
        <v>54</v>
      </c>
      <c r="E19" s="287">
        <v>270</v>
      </c>
      <c r="F19" s="86"/>
      <c r="G19" s="86"/>
      <c r="H19" s="86"/>
      <c r="I19" s="86"/>
      <c r="J19" s="86"/>
      <c r="K19" s="86"/>
      <c r="L19" s="86"/>
      <c r="M19" s="86"/>
      <c r="N19" s="86"/>
      <c r="O19" s="86"/>
      <c r="P19" s="86"/>
    </row>
    <row r="20" spans="1:16" ht="23.25" x14ac:dyDescent="0.25">
      <c r="A20" s="284">
        <f>IF(COUNTBLANK(B20)=1," ",COUNTA($B$14:B20))</f>
        <v>6</v>
      </c>
      <c r="B20" s="285" t="s">
        <v>52</v>
      </c>
      <c r="C20" s="286" t="s">
        <v>544</v>
      </c>
      <c r="D20" s="287" t="s">
        <v>54</v>
      </c>
      <c r="E20" s="287">
        <v>240</v>
      </c>
      <c r="F20" s="86"/>
      <c r="G20" s="86"/>
      <c r="H20" s="86"/>
      <c r="I20" s="86"/>
      <c r="J20" s="86"/>
      <c r="K20" s="86"/>
      <c r="L20" s="86"/>
      <c r="M20" s="86"/>
      <c r="N20" s="86"/>
      <c r="O20" s="86"/>
      <c r="P20" s="86"/>
    </row>
    <row r="21" spans="1:16" ht="34.5" x14ac:dyDescent="0.25">
      <c r="A21" s="284">
        <f>IF(COUNTBLANK(B21)=1," ",COUNTA($B$14:B21))</f>
        <v>7</v>
      </c>
      <c r="B21" s="285" t="s">
        <v>52</v>
      </c>
      <c r="C21" s="286" t="s">
        <v>545</v>
      </c>
      <c r="D21" s="287" t="s">
        <v>54</v>
      </c>
      <c r="E21" s="287">
        <v>250</v>
      </c>
      <c r="F21" s="86"/>
      <c r="G21" s="86"/>
      <c r="H21" s="86"/>
      <c r="I21" s="86"/>
      <c r="J21" s="86"/>
      <c r="K21" s="86"/>
      <c r="L21" s="86"/>
      <c r="M21" s="86"/>
      <c r="N21" s="86"/>
      <c r="O21" s="86"/>
      <c r="P21" s="86"/>
    </row>
    <row r="22" spans="1:16" ht="17.100000000000001" customHeight="1" x14ac:dyDescent="0.25">
      <c r="A22" s="284">
        <f>IF(COUNTBLANK(B22)=1," ",COUNTA($B$14:B22))</f>
        <v>8</v>
      </c>
      <c r="B22" s="285" t="s">
        <v>52</v>
      </c>
      <c r="C22" s="286" t="s">
        <v>546</v>
      </c>
      <c r="D22" s="287" t="s">
        <v>336</v>
      </c>
      <c r="E22" s="287">
        <v>13</v>
      </c>
      <c r="F22" s="86"/>
      <c r="G22" s="86"/>
      <c r="H22" s="86"/>
      <c r="I22" s="86"/>
      <c r="J22" s="86"/>
      <c r="K22" s="86"/>
      <c r="L22" s="86"/>
      <c r="M22" s="86"/>
      <c r="N22" s="86"/>
      <c r="O22" s="86"/>
      <c r="P22" s="86"/>
    </row>
    <row r="23" spans="1:16" ht="23.25" x14ac:dyDescent="0.25">
      <c r="A23" s="284">
        <f>IF(COUNTBLANK(B23)=1," ",COUNTA($B$14:B23))</f>
        <v>9</v>
      </c>
      <c r="B23" s="285" t="s">
        <v>52</v>
      </c>
      <c r="C23" s="286" t="s">
        <v>547</v>
      </c>
      <c r="D23" s="287" t="s">
        <v>56</v>
      </c>
      <c r="E23" s="287">
        <v>9</v>
      </c>
      <c r="F23" s="86"/>
      <c r="G23" s="86"/>
      <c r="H23" s="86"/>
      <c r="I23" s="86"/>
      <c r="J23" s="86"/>
      <c r="K23" s="86"/>
      <c r="L23" s="86"/>
      <c r="M23" s="86"/>
      <c r="N23" s="86"/>
      <c r="O23" s="86"/>
      <c r="P23" s="86"/>
    </row>
    <row r="24" spans="1:16" ht="23.25" x14ac:dyDescent="0.25">
      <c r="A24" s="284">
        <f>IF(COUNTBLANK(B24)=1," ",COUNTA($B$14:B24))</f>
        <v>10</v>
      </c>
      <c r="B24" s="285" t="s">
        <v>52</v>
      </c>
      <c r="C24" s="286" t="s">
        <v>548</v>
      </c>
      <c r="D24" s="287" t="s">
        <v>56</v>
      </c>
      <c r="E24" s="287">
        <v>9</v>
      </c>
      <c r="F24" s="86"/>
      <c r="G24" s="86"/>
      <c r="H24" s="86"/>
      <c r="I24" s="86"/>
      <c r="J24" s="86"/>
      <c r="K24" s="86"/>
      <c r="L24" s="86"/>
      <c r="M24" s="86"/>
      <c r="N24" s="86"/>
      <c r="O24" s="86"/>
      <c r="P24" s="86"/>
    </row>
    <row r="25" spans="1:16" ht="23.25" x14ac:dyDescent="0.25">
      <c r="A25" s="284">
        <f>IF(COUNTBLANK(B25)=1," ",COUNTA($B$14:B25))</f>
        <v>11</v>
      </c>
      <c r="B25" s="285" t="s">
        <v>52</v>
      </c>
      <c r="C25" s="286" t="s">
        <v>549</v>
      </c>
      <c r="D25" s="287" t="s">
        <v>336</v>
      </c>
      <c r="E25" s="287">
        <v>9</v>
      </c>
      <c r="F25" s="86"/>
      <c r="G25" s="86"/>
      <c r="H25" s="86"/>
      <c r="I25" s="86"/>
      <c r="J25" s="86"/>
      <c r="K25" s="86"/>
      <c r="L25" s="86"/>
      <c r="M25" s="86"/>
      <c r="N25" s="86"/>
      <c r="O25" s="86"/>
      <c r="P25" s="86"/>
    </row>
    <row r="26" spans="1:16" ht="23.25" x14ac:dyDescent="0.25">
      <c r="A26" s="284">
        <f>IF(COUNTBLANK(B26)=1," ",COUNTA($B$14:B26))</f>
        <v>12</v>
      </c>
      <c r="B26" s="285" t="s">
        <v>52</v>
      </c>
      <c r="C26" s="286" t="s">
        <v>550</v>
      </c>
      <c r="D26" s="287" t="s">
        <v>56</v>
      </c>
      <c r="E26" s="287">
        <v>250</v>
      </c>
      <c r="F26" s="86"/>
      <c r="G26" s="86"/>
      <c r="H26" s="86"/>
      <c r="I26" s="86"/>
      <c r="J26" s="86"/>
      <c r="K26" s="86"/>
      <c r="L26" s="86"/>
      <c r="M26" s="86"/>
      <c r="N26" s="86"/>
      <c r="O26" s="86"/>
      <c r="P26" s="86"/>
    </row>
    <row r="27" spans="1:16" ht="23.25" x14ac:dyDescent="0.25">
      <c r="A27" s="284">
        <f>IF(COUNTBLANK(B27)=1," ",COUNTA($B$14:B27))</f>
        <v>13</v>
      </c>
      <c r="B27" s="285" t="s">
        <v>52</v>
      </c>
      <c r="C27" s="286" t="s">
        <v>551</v>
      </c>
      <c r="D27" s="287" t="s">
        <v>56</v>
      </c>
      <c r="E27" s="287">
        <v>250</v>
      </c>
      <c r="F27" s="86"/>
      <c r="G27" s="86"/>
      <c r="H27" s="86"/>
      <c r="I27" s="86"/>
      <c r="J27" s="86"/>
      <c r="K27" s="86"/>
      <c r="L27" s="86"/>
      <c r="M27" s="86"/>
      <c r="N27" s="86"/>
      <c r="O27" s="86"/>
      <c r="P27" s="86"/>
    </row>
    <row r="28" spans="1:16" ht="23.25" x14ac:dyDescent="0.25">
      <c r="A28" s="284">
        <f>IF(COUNTBLANK(B28)=1," ",COUNTA($B$14:B28))</f>
        <v>14</v>
      </c>
      <c r="B28" s="285" t="s">
        <v>52</v>
      </c>
      <c r="C28" s="286" t="s">
        <v>552</v>
      </c>
      <c r="D28" s="287" t="s">
        <v>56</v>
      </c>
      <c r="E28" s="287">
        <v>27</v>
      </c>
      <c r="F28" s="86"/>
      <c r="G28" s="86"/>
      <c r="H28" s="86"/>
      <c r="I28" s="86"/>
      <c r="J28" s="86"/>
      <c r="K28" s="86"/>
      <c r="L28" s="86"/>
      <c r="M28" s="86"/>
      <c r="N28" s="86"/>
      <c r="O28" s="86"/>
      <c r="P28" s="86"/>
    </row>
    <row r="29" spans="1:16" x14ac:dyDescent="0.25">
      <c r="A29" s="284">
        <f>IF(COUNTBLANK(B29)=1," ",COUNTA($B$14:B29))</f>
        <v>15</v>
      </c>
      <c r="B29" s="285" t="s">
        <v>52</v>
      </c>
      <c r="C29" s="286" t="s">
        <v>553</v>
      </c>
      <c r="D29" s="287" t="s">
        <v>56</v>
      </c>
      <c r="E29" s="287">
        <v>9</v>
      </c>
      <c r="F29" s="86"/>
      <c r="G29" s="86"/>
      <c r="H29" s="86"/>
      <c r="I29" s="86"/>
      <c r="J29" s="86"/>
      <c r="K29" s="86"/>
      <c r="L29" s="86"/>
      <c r="M29" s="86"/>
      <c r="N29" s="86"/>
      <c r="O29" s="86"/>
      <c r="P29" s="86"/>
    </row>
    <row r="30" spans="1:16" x14ac:dyDescent="0.25">
      <c r="A30" s="284">
        <f>IF(COUNTBLANK(B30)=1," ",COUNTA($B$14:B30))</f>
        <v>16</v>
      </c>
      <c r="B30" s="285" t="s">
        <v>52</v>
      </c>
      <c r="C30" s="286" t="s">
        <v>554</v>
      </c>
      <c r="D30" s="287" t="s">
        <v>56</v>
      </c>
      <c r="E30" s="287">
        <v>9</v>
      </c>
      <c r="F30" s="86"/>
      <c r="G30" s="86"/>
      <c r="H30" s="86"/>
      <c r="I30" s="86"/>
      <c r="J30" s="86"/>
      <c r="K30" s="86"/>
      <c r="L30" s="86"/>
      <c r="M30" s="86"/>
      <c r="N30" s="86"/>
      <c r="O30" s="86"/>
      <c r="P30" s="86"/>
    </row>
    <row r="31" spans="1:16" x14ac:dyDescent="0.25">
      <c r="A31" s="284">
        <f>IF(COUNTBLANK(B31)=1," ",COUNTA($B$14:B31))</f>
        <v>17</v>
      </c>
      <c r="B31" s="285" t="s">
        <v>52</v>
      </c>
      <c r="C31" s="286" t="s">
        <v>555</v>
      </c>
      <c r="D31" s="287" t="s">
        <v>56</v>
      </c>
      <c r="E31" s="287">
        <v>9</v>
      </c>
      <c r="F31" s="86"/>
      <c r="G31" s="86"/>
      <c r="H31" s="86"/>
      <c r="I31" s="86"/>
      <c r="J31" s="86"/>
      <c r="K31" s="86"/>
      <c r="L31" s="86"/>
      <c r="M31" s="86"/>
      <c r="N31" s="86"/>
      <c r="O31" s="86"/>
      <c r="P31" s="86"/>
    </row>
    <row r="32" spans="1:16" x14ac:dyDescent="0.25">
      <c r="A32" s="284">
        <f>IF(COUNTBLANK(B32)=1," ",COUNTA($B$14:B32))</f>
        <v>18</v>
      </c>
      <c r="B32" s="285" t="s">
        <v>52</v>
      </c>
      <c r="C32" s="286" t="s">
        <v>556</v>
      </c>
      <c r="D32" s="287" t="s">
        <v>557</v>
      </c>
      <c r="E32" s="287">
        <v>1</v>
      </c>
      <c r="F32" s="86"/>
      <c r="G32" s="86"/>
      <c r="H32" s="86"/>
      <c r="I32" s="86"/>
      <c r="J32" s="86"/>
      <c r="K32" s="86"/>
      <c r="L32" s="86"/>
      <c r="M32" s="86"/>
      <c r="N32" s="86"/>
      <c r="O32" s="86"/>
      <c r="P32" s="86"/>
    </row>
    <row r="33" spans="1:16" x14ac:dyDescent="0.25">
      <c r="A33" s="284">
        <f>IF(COUNTBLANK(B33)=1," ",COUNTA($B$14:B33))</f>
        <v>19</v>
      </c>
      <c r="B33" s="285" t="s">
        <v>52</v>
      </c>
      <c r="C33" s="286" t="s">
        <v>558</v>
      </c>
      <c r="D33" s="287" t="s">
        <v>54</v>
      </c>
      <c r="E33" s="287">
        <v>220</v>
      </c>
      <c r="F33" s="86"/>
      <c r="G33" s="86"/>
      <c r="H33" s="86"/>
      <c r="I33" s="86"/>
      <c r="J33" s="86"/>
      <c r="K33" s="86"/>
      <c r="L33" s="86"/>
      <c r="M33" s="86"/>
      <c r="N33" s="86"/>
      <c r="O33" s="86"/>
      <c r="P33" s="86"/>
    </row>
    <row r="34" spans="1:16" x14ac:dyDescent="0.25">
      <c r="A34" s="284">
        <f>IF(COUNTBLANK(B34)=1," ",COUNTA($B$14:B34))</f>
        <v>20</v>
      </c>
      <c r="B34" s="285" t="s">
        <v>52</v>
      </c>
      <c r="C34" s="286" t="s">
        <v>559</v>
      </c>
      <c r="D34" s="287" t="s">
        <v>336</v>
      </c>
      <c r="E34" s="287">
        <v>1</v>
      </c>
      <c r="F34" s="86"/>
      <c r="G34" s="86"/>
      <c r="H34" s="86"/>
      <c r="I34" s="86"/>
      <c r="J34" s="86"/>
      <c r="K34" s="86"/>
      <c r="L34" s="86"/>
      <c r="M34" s="86"/>
      <c r="N34" s="86"/>
      <c r="O34" s="86"/>
      <c r="P34" s="86"/>
    </row>
    <row r="35" spans="1:16" x14ac:dyDescent="0.25">
      <c r="A35" s="284">
        <f>IF(COUNTBLANK(B35)=1," ",COUNTA($B$14:B35))</f>
        <v>21</v>
      </c>
      <c r="B35" s="285" t="s">
        <v>52</v>
      </c>
      <c r="C35" s="286" t="s">
        <v>560</v>
      </c>
      <c r="D35" s="287" t="s">
        <v>54</v>
      </c>
      <c r="E35" s="287">
        <v>220</v>
      </c>
      <c r="F35" s="86"/>
      <c r="G35" s="86"/>
      <c r="H35" s="86"/>
      <c r="I35" s="86"/>
      <c r="J35" s="86"/>
      <c r="K35" s="86"/>
      <c r="L35" s="86"/>
      <c r="M35" s="86"/>
      <c r="N35" s="86"/>
      <c r="O35" s="86"/>
      <c r="P35" s="86"/>
    </row>
    <row r="36" spans="1:16" x14ac:dyDescent="0.25">
      <c r="A36" s="284">
        <f>IF(COUNTBLANK(B36)=1," ",COUNTA($B$14:B36))</f>
        <v>22</v>
      </c>
      <c r="B36" s="285" t="s">
        <v>52</v>
      </c>
      <c r="C36" s="286" t="s">
        <v>561</v>
      </c>
      <c r="D36" s="287" t="s">
        <v>56</v>
      </c>
      <c r="E36" s="287">
        <v>27</v>
      </c>
      <c r="F36" s="86"/>
      <c r="G36" s="86"/>
      <c r="H36" s="86"/>
      <c r="I36" s="86"/>
      <c r="J36" s="86"/>
      <c r="K36" s="86"/>
      <c r="L36" s="86"/>
      <c r="M36" s="86"/>
      <c r="N36" s="86"/>
      <c r="O36" s="86"/>
      <c r="P36" s="86"/>
    </row>
    <row r="37" spans="1:16" x14ac:dyDescent="0.25">
      <c r="A37" s="284">
        <f>IF(COUNTBLANK(B37)=1," ",COUNTA($B$14:B37))</f>
        <v>23</v>
      </c>
      <c r="B37" s="285" t="s">
        <v>52</v>
      </c>
      <c r="C37" s="286" t="s">
        <v>562</v>
      </c>
      <c r="D37" s="287" t="s">
        <v>336</v>
      </c>
      <c r="E37" s="287">
        <v>1</v>
      </c>
      <c r="F37" s="86"/>
      <c r="G37" s="86"/>
      <c r="H37" s="86"/>
      <c r="I37" s="86"/>
      <c r="J37" s="86"/>
      <c r="K37" s="86"/>
      <c r="L37" s="86"/>
      <c r="M37" s="86"/>
      <c r="N37" s="86"/>
      <c r="O37" s="86"/>
      <c r="P37" s="86"/>
    </row>
    <row r="38" spans="1:16" x14ac:dyDescent="0.25">
      <c r="A38" s="284">
        <f>IF(COUNTBLANK(B38)=1," ",COUNTA($B$14:B38))</f>
        <v>24</v>
      </c>
      <c r="B38" s="285" t="s">
        <v>52</v>
      </c>
      <c r="C38" s="286" t="s">
        <v>563</v>
      </c>
      <c r="D38" s="287" t="s">
        <v>60</v>
      </c>
      <c r="E38" s="287">
        <v>110</v>
      </c>
      <c r="F38" s="86"/>
      <c r="G38" s="86"/>
      <c r="H38" s="86"/>
      <c r="I38" s="86"/>
      <c r="J38" s="86"/>
      <c r="K38" s="86"/>
      <c r="L38" s="86"/>
      <c r="M38" s="86"/>
      <c r="N38" s="86"/>
      <c r="O38" s="86"/>
      <c r="P38" s="86"/>
    </row>
    <row r="39" spans="1:16" x14ac:dyDescent="0.25">
      <c r="A39" s="284">
        <f>IF(COUNTBLANK(B39)=1," ",COUNTA($B$14:B39))</f>
        <v>25</v>
      </c>
      <c r="B39" s="285" t="s">
        <v>52</v>
      </c>
      <c r="C39" s="286" t="s">
        <v>564</v>
      </c>
      <c r="D39" s="287" t="s">
        <v>336</v>
      </c>
      <c r="E39" s="287">
        <v>1</v>
      </c>
      <c r="F39" s="86"/>
      <c r="G39" s="86"/>
      <c r="H39" s="86"/>
      <c r="I39" s="86"/>
      <c r="J39" s="86"/>
      <c r="K39" s="86"/>
      <c r="L39" s="86"/>
      <c r="M39" s="86"/>
      <c r="N39" s="86"/>
      <c r="O39" s="86"/>
      <c r="P39" s="86"/>
    </row>
    <row r="40" spans="1:16" x14ac:dyDescent="0.25">
      <c r="A40" s="284">
        <f>IF(COUNTBLANK(B40)=1," ",COUNTA($B$14:B40))</f>
        <v>26</v>
      </c>
      <c r="B40" s="285" t="s">
        <v>52</v>
      </c>
      <c r="C40" s="286" t="s">
        <v>565</v>
      </c>
      <c r="D40" s="287" t="s">
        <v>336</v>
      </c>
      <c r="E40" s="287">
        <v>1</v>
      </c>
      <c r="F40" s="86"/>
      <c r="G40" s="86"/>
      <c r="H40" s="86"/>
      <c r="I40" s="86"/>
      <c r="J40" s="86"/>
      <c r="K40" s="86"/>
      <c r="L40" s="86"/>
      <c r="M40" s="86"/>
      <c r="N40" s="86"/>
      <c r="O40" s="86"/>
      <c r="P40" s="86"/>
    </row>
    <row r="41" spans="1:16" x14ac:dyDescent="0.25">
      <c r="B41" s="18"/>
      <c r="C41" s="155"/>
      <c r="D41" s="18" t="s">
        <v>534</v>
      </c>
      <c r="E41" s="155"/>
      <c r="F41" s="155"/>
      <c r="G41" s="155"/>
      <c r="H41" s="155"/>
      <c r="I41" s="155"/>
      <c r="J41" s="155"/>
      <c r="K41" s="155"/>
      <c r="L41" s="288">
        <f>SUM(L15:L40)</f>
        <v>0</v>
      </c>
      <c r="M41" s="288">
        <f>SUM(M15:M40)</f>
        <v>0</v>
      </c>
      <c r="N41" s="288">
        <f>SUM(N15:N40)</f>
        <v>0</v>
      </c>
      <c r="O41" s="288">
        <f>SUM(O15:O40)</f>
        <v>0</v>
      </c>
      <c r="P41" s="288">
        <f>SUM(P15:P40)</f>
        <v>0</v>
      </c>
    </row>
    <row r="42" spans="1:16" x14ac:dyDescent="0.25">
      <c r="B42" s="54"/>
      <c r="C42" s="26"/>
      <c r="D42" s="54" t="s">
        <v>535</v>
      </c>
      <c r="E42" s="44"/>
      <c r="F42" s="44">
        <v>0</v>
      </c>
      <c r="G42" s="26"/>
      <c r="H42" s="26"/>
      <c r="I42" s="26"/>
      <c r="J42" s="26"/>
      <c r="K42" s="26"/>
      <c r="L42" s="289"/>
      <c r="M42" s="289"/>
      <c r="N42" s="289">
        <f>N41*F42</f>
        <v>0</v>
      </c>
      <c r="O42" s="289"/>
      <c r="P42" s="289"/>
    </row>
    <row r="43" spans="1:16" x14ac:dyDescent="0.25">
      <c r="B43" s="18"/>
      <c r="C43" s="155"/>
      <c r="D43" s="18" t="s">
        <v>103</v>
      </c>
      <c r="E43" s="26"/>
      <c r="F43" s="26"/>
      <c r="G43" s="26"/>
      <c r="H43" s="26"/>
      <c r="I43" s="26"/>
      <c r="J43" s="26"/>
      <c r="K43" s="26"/>
      <c r="L43" s="288">
        <f>SUM(L41:L42)</f>
        <v>0</v>
      </c>
      <c r="M43" s="288">
        <f>SUM(M41:M42)</f>
        <v>0</v>
      </c>
      <c r="N43" s="288">
        <f>SUM(N41:N42)</f>
        <v>0</v>
      </c>
      <c r="O43" s="288">
        <f>SUM(O41:O42)</f>
        <v>0</v>
      </c>
      <c r="P43" s="288">
        <f>SUM(M43:O43)</f>
        <v>0</v>
      </c>
    </row>
    <row r="44" spans="1:16" x14ac:dyDescent="0.25">
      <c r="B44" s="27"/>
      <c r="C44" s="27"/>
      <c r="D44" s="27"/>
      <c r="E44" s="27"/>
      <c r="F44" s="27"/>
      <c r="G44" s="27"/>
      <c r="H44" s="27"/>
      <c r="I44" s="27"/>
      <c r="J44" s="27"/>
      <c r="K44" s="27"/>
      <c r="L44" s="27"/>
      <c r="M44" s="27"/>
      <c r="N44" s="27"/>
      <c r="O44" s="27"/>
      <c r="P44" s="27"/>
    </row>
    <row r="45" spans="1:16" x14ac:dyDescent="0.25">
      <c r="C45" s="53" t="s">
        <v>27</v>
      </c>
      <c r="D45" s="23"/>
      <c r="E45" s="27"/>
      <c r="F45" s="277"/>
      <c r="G45" s="27"/>
      <c r="H45" s="27"/>
      <c r="I45" s="27"/>
      <c r="J45" s="27"/>
      <c r="K45" s="27"/>
      <c r="L45" s="27"/>
      <c r="M45" s="27"/>
      <c r="N45" s="27"/>
      <c r="O45" s="27"/>
      <c r="P45" s="27"/>
    </row>
    <row r="46" spans="1:16" x14ac:dyDescent="0.25">
      <c r="C46" s="54" t="s">
        <v>28</v>
      </c>
      <c r="D46" s="23"/>
      <c r="E46" s="27"/>
      <c r="F46" s="27"/>
      <c r="G46" s="27"/>
      <c r="H46" s="27"/>
      <c r="I46" s="27"/>
      <c r="J46" s="27"/>
      <c r="K46" s="27"/>
      <c r="L46" s="27"/>
      <c r="M46" s="27"/>
      <c r="N46" s="27"/>
      <c r="O46" s="27"/>
      <c r="P46" s="27"/>
    </row>
    <row r="47" spans="1:16" x14ac:dyDescent="0.25">
      <c r="C47" s="43"/>
      <c r="D47" s="23"/>
      <c r="E47" s="27"/>
      <c r="F47" s="27"/>
      <c r="G47" s="27"/>
      <c r="H47" s="27"/>
      <c r="I47" s="27"/>
      <c r="J47" s="27"/>
      <c r="K47" s="27"/>
      <c r="L47" s="27"/>
      <c r="M47" s="27"/>
      <c r="N47" s="27"/>
      <c r="O47" s="27"/>
      <c r="P47" s="27"/>
    </row>
    <row r="48" spans="1:16" x14ac:dyDescent="0.25">
      <c r="C48" s="55" t="s">
        <v>29</v>
      </c>
      <c r="D48" s="23"/>
      <c r="E48" s="27"/>
      <c r="F48" s="277"/>
      <c r="G48" s="27"/>
      <c r="H48" s="27"/>
      <c r="I48" s="27"/>
      <c r="J48" s="27"/>
      <c r="K48" s="27"/>
      <c r="L48" s="27"/>
      <c r="M48" s="27"/>
      <c r="N48" s="27"/>
      <c r="O48" s="27"/>
      <c r="P48" s="27"/>
    </row>
    <row r="49" spans="3:16" x14ac:dyDescent="0.25">
      <c r="C49" s="48" t="s">
        <v>30</v>
      </c>
      <c r="D49" s="23"/>
      <c r="E49" s="27"/>
      <c r="F49" s="27"/>
      <c r="G49" s="27"/>
      <c r="H49" s="27"/>
      <c r="I49" s="27"/>
      <c r="J49" s="27"/>
      <c r="K49" s="27"/>
      <c r="L49" s="27"/>
      <c r="M49" s="264"/>
      <c r="N49" s="27"/>
      <c r="O49" s="264"/>
      <c r="P49" s="27"/>
    </row>
  </sheetData>
  <mergeCells count="9">
    <mergeCell ref="A1:F1"/>
    <mergeCell ref="A9:O9"/>
    <mergeCell ref="A11:A12"/>
    <mergeCell ref="B11:B12"/>
    <mergeCell ref="C11:C12"/>
    <mergeCell ref="D11:D12"/>
    <mergeCell ref="E11:E12"/>
    <mergeCell ref="F11:K11"/>
    <mergeCell ref="L11:P11"/>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MK51"/>
  <sheetViews>
    <sheetView topLeftCell="A7" zoomScaleNormal="100" zoomScalePageLayoutView="85" workbookViewId="0">
      <selection activeCell="C26" sqref="C26"/>
    </sheetView>
  </sheetViews>
  <sheetFormatPr defaultRowHeight="15" x14ac:dyDescent="0.25"/>
  <cols>
    <col min="1" max="1" width="3.7109375" style="16"/>
    <col min="2" max="2" width="4.85546875" style="16"/>
    <col min="3" max="3" width="48.85546875" style="249"/>
    <col min="4" max="5" width="4.5703125" style="16"/>
    <col min="6" max="6" width="8.7109375" style="57"/>
    <col min="7" max="16" width="8.7109375" style="16"/>
    <col min="17" max="251" width="8" style="16"/>
    <col min="252" max="1023" width="3.7109375" style="16"/>
    <col min="1024" max="1025" width="8.7109375" style="58"/>
  </cols>
  <sheetData>
    <row r="1" spans="1:1024" s="19" customFormat="1" ht="11.25" x14ac:dyDescent="0.25">
      <c r="A1" s="14" t="s">
        <v>31</v>
      </c>
      <c r="B1" s="14"/>
      <c r="C1" s="14"/>
      <c r="D1" s="14"/>
      <c r="E1" s="14"/>
      <c r="F1" s="14"/>
      <c r="G1" s="18">
        <f>KPDV!A23</f>
        <v>11</v>
      </c>
      <c r="H1" s="18"/>
      <c r="I1" s="18"/>
      <c r="J1" s="18"/>
      <c r="K1" s="18"/>
    </row>
    <row r="2" spans="1:1024" s="21" customFormat="1" ht="11.25" x14ac:dyDescent="0.25">
      <c r="A2" s="20"/>
      <c r="B2" s="20"/>
      <c r="C2" s="20" t="s">
        <v>566</v>
      </c>
      <c r="D2" s="20"/>
      <c r="E2" s="20"/>
      <c r="F2" s="20"/>
      <c r="G2" s="20"/>
      <c r="H2" s="20"/>
      <c r="I2" s="20"/>
      <c r="J2" s="20"/>
      <c r="K2" s="20"/>
    </row>
    <row r="3" spans="1:1024" s="23" customFormat="1" ht="11.25" x14ac:dyDescent="0.25">
      <c r="A3" s="23" t="str">
        <f>KPDV!A3</f>
        <v>Būves nosaukums: Daudzdzīvokļu dzīvojamās mājas fasādes vienkāršotā atjaunošana</v>
      </c>
    </row>
    <row r="4" spans="1:1024" s="23" customFormat="1" ht="11.25" x14ac:dyDescent="0.25">
      <c r="A4" s="23" t="str">
        <f>KPDV!A4</f>
        <v>Objekta nosaukums: Daudzdzīvokļu dzīvojamās mājas Ed. Tisē ielā 48, Liepājā, 
fasādes vienkāršotā atjaunošana</v>
      </c>
    </row>
    <row r="5" spans="1:1024" s="25" customFormat="1" x14ac:dyDescent="0.25">
      <c r="A5" s="27" t="str">
        <f>KPDV!A5</f>
        <v>Objekta adrese: Tisē iela 48 Liepājā</v>
      </c>
      <c r="B5" s="27"/>
      <c r="C5" s="195"/>
      <c r="D5" s="27"/>
      <c r="E5" s="27"/>
      <c r="F5" s="27"/>
      <c r="G5" s="27"/>
      <c r="H5" s="27"/>
      <c r="I5" s="27"/>
      <c r="J5" s="27"/>
      <c r="K5" s="27"/>
      <c r="L5" s="27"/>
      <c r="M5" s="27"/>
      <c r="N5" s="27"/>
      <c r="O5" s="27"/>
      <c r="P5" s="27"/>
      <c r="AMI5"/>
      <c r="AMJ5"/>
    </row>
    <row r="6" spans="1:1024" s="25" customFormat="1" x14ac:dyDescent="0.25">
      <c r="A6" s="27" t="str">
        <f>KPDV!A6</f>
        <v>Pasūtījuma Nr.WS-64-15</v>
      </c>
      <c r="B6" s="27"/>
      <c r="C6" s="195"/>
      <c r="D6" s="27"/>
      <c r="E6" s="27"/>
      <c r="F6" s="27"/>
      <c r="G6" s="27"/>
      <c r="H6" s="27"/>
      <c r="I6" s="27"/>
      <c r="J6" s="27"/>
      <c r="K6" s="27"/>
      <c r="L6" s="27"/>
      <c r="M6" s="27"/>
      <c r="N6" s="27"/>
      <c r="O6" s="27"/>
      <c r="P6" s="27"/>
      <c r="AMI6"/>
      <c r="AMJ6"/>
    </row>
    <row r="7" spans="1:1024" s="25" customFormat="1" x14ac:dyDescent="0.25">
      <c r="A7" s="27" t="str">
        <f>KPDV!A7</f>
        <v>Pasūtītājs: SIA "Liepājas namu apsaimniekotājs"</v>
      </c>
      <c r="B7" s="27"/>
      <c r="C7" s="195"/>
      <c r="D7" s="27"/>
      <c r="E7" s="27"/>
      <c r="F7" s="27"/>
      <c r="G7" s="27"/>
      <c r="H7" s="27"/>
      <c r="I7" s="27"/>
      <c r="J7" s="27"/>
      <c r="K7" s="27"/>
      <c r="L7" s="27"/>
      <c r="M7" s="27"/>
      <c r="N7" s="27"/>
      <c r="O7" s="27"/>
      <c r="P7" s="27"/>
      <c r="AMI7"/>
      <c r="AMJ7"/>
    </row>
    <row r="8" spans="1:1024" s="25" customFormat="1" x14ac:dyDescent="0.25">
      <c r="A8" s="27"/>
      <c r="B8" s="27"/>
      <c r="C8" s="61" t="s">
        <v>567</v>
      </c>
      <c r="D8" s="23" t="s">
        <v>568</v>
      </c>
      <c r="E8" s="63" t="s">
        <v>35</v>
      </c>
      <c r="F8" s="27"/>
      <c r="G8" s="27"/>
      <c r="H8" s="27"/>
      <c r="I8" s="27"/>
      <c r="J8" s="27"/>
      <c r="K8" s="27"/>
      <c r="L8" s="27"/>
      <c r="M8" s="27"/>
      <c r="N8" s="27"/>
      <c r="O8" s="27"/>
      <c r="P8" s="27"/>
      <c r="AMI8"/>
      <c r="AMJ8"/>
    </row>
    <row r="9" spans="1:1024" s="25" customFormat="1" x14ac:dyDescent="0.25">
      <c r="A9" s="9" t="str">
        <f>AR!A9</f>
        <v>Tāmes izmaksas euro:</v>
      </c>
      <c r="B9" s="9"/>
      <c r="C9" s="9"/>
      <c r="D9" s="9"/>
      <c r="E9" s="9"/>
      <c r="F9" s="9"/>
      <c r="G9" s="9"/>
      <c r="H9" s="9"/>
      <c r="I9" s="9"/>
      <c r="J9" s="9"/>
      <c r="K9" s="9"/>
      <c r="L9" s="9"/>
      <c r="M9" s="9"/>
      <c r="N9" s="9"/>
      <c r="O9" s="9"/>
      <c r="P9" s="64">
        <f>P45</f>
        <v>0</v>
      </c>
      <c r="AMI9"/>
      <c r="AMJ9"/>
    </row>
    <row r="10" spans="1:1024" s="27" customFormat="1" ht="11.25" x14ac:dyDescent="0.25">
      <c r="B10" s="155"/>
      <c r="C10" s="155"/>
      <c r="D10" s="155"/>
      <c r="E10" s="155"/>
      <c r="F10" s="155"/>
      <c r="G10" s="155"/>
      <c r="H10" s="155"/>
      <c r="I10" s="155"/>
      <c r="J10" s="155"/>
      <c r="K10" s="155"/>
      <c r="L10" s="155"/>
      <c r="M10" s="155"/>
      <c r="N10" s="155"/>
      <c r="O10" s="155"/>
      <c r="P10" s="43" t="str">
        <f>KPDV!B10</f>
        <v>Tāme sastādīta  201_.gada ___.______________</v>
      </c>
    </row>
    <row r="11" spans="1:1024" s="23" customFormat="1" ht="10.15" customHeight="1" x14ac:dyDescent="0.25">
      <c r="A11" s="301" t="s">
        <v>37</v>
      </c>
      <c r="B11" s="301" t="s">
        <v>38</v>
      </c>
      <c r="C11" s="302" t="s">
        <v>39</v>
      </c>
      <c r="D11" s="303" t="s">
        <v>40</v>
      </c>
      <c r="E11" s="301" t="s">
        <v>41</v>
      </c>
      <c r="F11" s="304" t="s">
        <v>42</v>
      </c>
      <c r="G11" s="304"/>
      <c r="H11" s="304"/>
      <c r="I11" s="304"/>
      <c r="J11" s="304"/>
      <c r="K11" s="304"/>
      <c r="L11" s="304" t="s">
        <v>43</v>
      </c>
      <c r="M11" s="304"/>
      <c r="N11" s="304"/>
      <c r="O11" s="304"/>
      <c r="P11" s="304"/>
    </row>
    <row r="12" spans="1:1024" ht="54" x14ac:dyDescent="0.25">
      <c r="A12" s="301"/>
      <c r="B12" s="301"/>
      <c r="C12" s="302"/>
      <c r="D12" s="303"/>
      <c r="E12" s="301"/>
      <c r="F12" s="214" t="s">
        <v>44</v>
      </c>
      <c r="G12" s="214" t="s">
        <v>45</v>
      </c>
      <c r="H12" s="215" t="s">
        <v>46</v>
      </c>
      <c r="I12" s="215" t="s">
        <v>47</v>
      </c>
      <c r="J12" s="215" t="s">
        <v>48</v>
      </c>
      <c r="K12" s="215" t="s">
        <v>49</v>
      </c>
      <c r="L12" s="214" t="s">
        <v>50</v>
      </c>
      <c r="M12" s="215" t="s">
        <v>46</v>
      </c>
      <c r="N12" s="215" t="s">
        <v>47</v>
      </c>
      <c r="O12" s="215" t="s">
        <v>48</v>
      </c>
      <c r="P12" s="215" t="s">
        <v>51</v>
      </c>
    </row>
    <row r="13" spans="1:1024" x14ac:dyDescent="0.25">
      <c r="A13" s="278">
        <v>1</v>
      </c>
      <c r="B13" s="278">
        <f t="shared" ref="B13:P13" si="0">A13+1</f>
        <v>2</v>
      </c>
      <c r="C13" s="279">
        <f t="shared" si="0"/>
        <v>3</v>
      </c>
      <c r="D13" s="278">
        <f t="shared" si="0"/>
        <v>4</v>
      </c>
      <c r="E13" s="85">
        <f t="shared" si="0"/>
        <v>5</v>
      </c>
      <c r="F13" s="85">
        <f t="shared" si="0"/>
        <v>6</v>
      </c>
      <c r="G13" s="85">
        <f t="shared" si="0"/>
        <v>7</v>
      </c>
      <c r="H13" s="85">
        <f t="shared" si="0"/>
        <v>8</v>
      </c>
      <c r="I13" s="85">
        <f t="shared" si="0"/>
        <v>9</v>
      </c>
      <c r="J13" s="85">
        <f t="shared" si="0"/>
        <v>10</v>
      </c>
      <c r="K13" s="85">
        <f t="shared" si="0"/>
        <v>11</v>
      </c>
      <c r="L13" s="85">
        <f t="shared" si="0"/>
        <v>12</v>
      </c>
      <c r="M13" s="85">
        <f t="shared" si="0"/>
        <v>13</v>
      </c>
      <c r="N13" s="85">
        <f t="shared" si="0"/>
        <v>14</v>
      </c>
      <c r="O13" s="85">
        <f t="shared" si="0"/>
        <v>15</v>
      </c>
      <c r="P13" s="85">
        <f t="shared" si="0"/>
        <v>16</v>
      </c>
    </row>
    <row r="14" spans="1:1024" x14ac:dyDescent="0.25">
      <c r="A14" s="33"/>
      <c r="B14" s="33"/>
      <c r="C14" s="32" t="s">
        <v>569</v>
      </c>
      <c r="D14" s="33"/>
      <c r="E14" s="33"/>
      <c r="F14" s="27"/>
      <c r="G14" s="25"/>
      <c r="H14" s="25"/>
      <c r="I14" s="25"/>
      <c r="J14" s="25"/>
      <c r="K14" s="25"/>
      <c r="L14" s="25"/>
      <c r="M14" s="25"/>
      <c r="N14" s="25"/>
      <c r="O14" s="25"/>
      <c r="P14" s="25"/>
    </row>
    <row r="15" spans="1:1024" x14ac:dyDescent="0.25">
      <c r="A15" s="33">
        <v>1</v>
      </c>
      <c r="B15" s="85"/>
      <c r="C15" s="84" t="s">
        <v>570</v>
      </c>
      <c r="D15" s="85" t="s">
        <v>212</v>
      </c>
      <c r="E15" s="85">
        <v>3</v>
      </c>
      <c r="F15" s="86"/>
      <c r="G15" s="86"/>
      <c r="H15" s="86"/>
      <c r="I15" s="86"/>
      <c r="J15" s="86"/>
      <c r="K15" s="80"/>
      <c r="L15" s="80"/>
      <c r="M15" s="80"/>
      <c r="N15" s="80"/>
      <c r="O15" s="80"/>
      <c r="P15" s="80"/>
    </row>
    <row r="16" spans="1:1024" x14ac:dyDescent="0.25">
      <c r="A16" s="33">
        <f t="shared" ref="A16:A41" si="1">A15+1</f>
        <v>2</v>
      </c>
      <c r="B16" s="85" t="s">
        <v>571</v>
      </c>
      <c r="C16" s="84" t="s">
        <v>572</v>
      </c>
      <c r="D16" s="85" t="s">
        <v>77</v>
      </c>
      <c r="E16" s="85">
        <v>3</v>
      </c>
      <c r="F16" s="86"/>
      <c r="G16" s="86"/>
      <c r="H16" s="86"/>
      <c r="I16" s="86"/>
      <c r="J16" s="86"/>
      <c r="K16" s="80"/>
      <c r="L16" s="80"/>
      <c r="M16" s="80"/>
      <c r="N16" s="80"/>
      <c r="O16" s="80"/>
      <c r="P16" s="80"/>
    </row>
    <row r="17" spans="1:16" x14ac:dyDescent="0.25">
      <c r="A17" s="33">
        <f t="shared" si="1"/>
        <v>3</v>
      </c>
      <c r="B17" s="85" t="str">
        <f>B16</f>
        <v>Dn50</v>
      </c>
      <c r="C17" s="36" t="s">
        <v>573</v>
      </c>
      <c r="D17" s="33" t="s">
        <v>77</v>
      </c>
      <c r="E17" s="33">
        <f>E16</f>
        <v>3</v>
      </c>
      <c r="F17" s="86"/>
      <c r="G17" s="86"/>
      <c r="H17" s="86"/>
      <c r="I17" s="86"/>
      <c r="J17" s="86"/>
      <c r="K17" s="80"/>
      <c r="L17" s="80"/>
      <c r="M17" s="80"/>
      <c r="N17" s="80"/>
      <c r="O17" s="80"/>
      <c r="P17" s="80"/>
    </row>
    <row r="18" spans="1:16" x14ac:dyDescent="0.25">
      <c r="A18" s="33">
        <f t="shared" si="1"/>
        <v>4</v>
      </c>
      <c r="B18" s="85" t="str">
        <f>B17</f>
        <v>Dn50</v>
      </c>
      <c r="C18" s="36" t="s">
        <v>574</v>
      </c>
      <c r="D18" s="33" t="s">
        <v>77</v>
      </c>
      <c r="E18" s="33">
        <f>E17</f>
        <v>3</v>
      </c>
      <c r="F18" s="86"/>
      <c r="G18" s="86"/>
      <c r="H18" s="86"/>
      <c r="I18" s="86"/>
      <c r="J18" s="86"/>
      <c r="K18" s="80"/>
      <c r="L18" s="80"/>
      <c r="M18" s="80"/>
      <c r="N18" s="80"/>
      <c r="O18" s="80"/>
      <c r="P18" s="80"/>
    </row>
    <row r="19" spans="1:16" x14ac:dyDescent="0.25">
      <c r="A19" s="33">
        <f t="shared" si="1"/>
        <v>5</v>
      </c>
      <c r="B19" s="85" t="str">
        <f>B18</f>
        <v>Dn50</v>
      </c>
      <c r="C19" s="36" t="s">
        <v>575</v>
      </c>
      <c r="D19" s="33" t="s">
        <v>77</v>
      </c>
      <c r="E19" s="33">
        <f>E16*2</f>
        <v>6</v>
      </c>
      <c r="F19" s="86"/>
      <c r="G19" s="86"/>
      <c r="H19" s="86"/>
      <c r="I19" s="86"/>
      <c r="J19" s="86"/>
      <c r="K19" s="80"/>
      <c r="L19" s="80"/>
      <c r="M19" s="80"/>
      <c r="N19" s="80"/>
      <c r="O19" s="80"/>
      <c r="P19" s="80"/>
    </row>
    <row r="20" spans="1:16" x14ac:dyDescent="0.25">
      <c r="A20" s="33">
        <f t="shared" si="1"/>
        <v>6</v>
      </c>
      <c r="B20" s="85" t="str">
        <f>B19</f>
        <v>Dn50</v>
      </c>
      <c r="C20" s="84" t="s">
        <v>576</v>
      </c>
      <c r="D20" s="85" t="s">
        <v>77</v>
      </c>
      <c r="E20" s="33">
        <f>E16</f>
        <v>3</v>
      </c>
      <c r="F20" s="86"/>
      <c r="G20" s="86"/>
      <c r="H20" s="86"/>
      <c r="I20" s="86"/>
      <c r="J20" s="86"/>
      <c r="K20" s="80"/>
      <c r="L20" s="80"/>
      <c r="M20" s="80"/>
      <c r="N20" s="80"/>
      <c r="O20" s="80"/>
      <c r="P20" s="80"/>
    </row>
    <row r="21" spans="1:16" ht="22.5" x14ac:dyDescent="0.25">
      <c r="A21" s="33">
        <f t="shared" si="1"/>
        <v>7</v>
      </c>
      <c r="B21" s="85" t="str">
        <f>B20</f>
        <v>Dn50</v>
      </c>
      <c r="C21" s="36" t="s">
        <v>577</v>
      </c>
      <c r="D21" s="33" t="s">
        <v>578</v>
      </c>
      <c r="E21" s="33">
        <f>E16</f>
        <v>3</v>
      </c>
      <c r="F21" s="86"/>
      <c r="G21" s="86"/>
      <c r="H21" s="86"/>
      <c r="I21" s="86"/>
      <c r="J21" s="86"/>
      <c r="K21" s="80"/>
      <c r="L21" s="80"/>
      <c r="M21" s="80"/>
      <c r="N21" s="80"/>
      <c r="O21" s="80"/>
      <c r="P21" s="80"/>
    </row>
    <row r="22" spans="1:16" ht="22.5" x14ac:dyDescent="0.25">
      <c r="A22" s="33">
        <f t="shared" si="1"/>
        <v>8</v>
      </c>
      <c r="B22" s="33" t="s">
        <v>579</v>
      </c>
      <c r="C22" s="84" t="s">
        <v>580</v>
      </c>
      <c r="D22" s="85" t="s">
        <v>54</v>
      </c>
      <c r="E22" s="85">
        <f>E16*2</f>
        <v>6</v>
      </c>
      <c r="F22" s="86"/>
      <c r="G22" s="86"/>
      <c r="H22" s="86"/>
      <c r="I22" s="86"/>
      <c r="J22" s="86"/>
      <c r="K22" s="80"/>
      <c r="L22" s="80"/>
      <c r="M22" s="80"/>
      <c r="N22" s="80"/>
      <c r="O22" s="80"/>
      <c r="P22" s="80"/>
    </row>
    <row r="23" spans="1:16" ht="22.5" x14ac:dyDescent="0.25">
      <c r="A23" s="33">
        <f t="shared" si="1"/>
        <v>9</v>
      </c>
      <c r="B23" s="33" t="s">
        <v>579</v>
      </c>
      <c r="C23" s="84" t="s">
        <v>581</v>
      </c>
      <c r="D23" s="85" t="s">
        <v>77</v>
      </c>
      <c r="E23" s="85">
        <f>E16</f>
        <v>3</v>
      </c>
      <c r="F23" s="86"/>
      <c r="G23" s="86"/>
      <c r="H23" s="86"/>
      <c r="I23" s="86"/>
      <c r="J23" s="86"/>
      <c r="K23" s="80"/>
      <c r="L23" s="80"/>
      <c r="M23" s="80"/>
      <c r="N23" s="80"/>
      <c r="O23" s="80"/>
      <c r="P23" s="80"/>
    </row>
    <row r="24" spans="1:16" ht="33.75" x14ac:dyDescent="0.25">
      <c r="A24" s="33">
        <f t="shared" si="1"/>
        <v>10</v>
      </c>
      <c r="B24" s="33" t="s">
        <v>582</v>
      </c>
      <c r="C24" s="36" t="s">
        <v>583</v>
      </c>
      <c r="D24" s="85" t="s">
        <v>77</v>
      </c>
      <c r="E24" s="85">
        <f>E16</f>
        <v>3</v>
      </c>
      <c r="F24" s="86"/>
      <c r="G24" s="86"/>
      <c r="H24" s="86"/>
      <c r="I24" s="86"/>
      <c r="J24" s="86"/>
      <c r="K24" s="80"/>
      <c r="L24" s="80"/>
      <c r="M24" s="80"/>
      <c r="N24" s="80"/>
      <c r="O24" s="80"/>
      <c r="P24" s="80"/>
    </row>
    <row r="25" spans="1:16" ht="22.5" x14ac:dyDescent="0.25">
      <c r="A25" s="33">
        <f t="shared" si="1"/>
        <v>11</v>
      </c>
      <c r="B25" s="33" t="s">
        <v>584</v>
      </c>
      <c r="C25" s="36" t="s">
        <v>585</v>
      </c>
      <c r="D25" s="33" t="s">
        <v>54</v>
      </c>
      <c r="E25" s="33">
        <f>E16*4</f>
        <v>12</v>
      </c>
      <c r="F25" s="86"/>
      <c r="G25" s="86"/>
      <c r="H25" s="86"/>
      <c r="I25" s="86"/>
      <c r="J25" s="86"/>
      <c r="K25" s="80"/>
      <c r="L25" s="80"/>
      <c r="M25" s="80"/>
      <c r="N25" s="80"/>
      <c r="O25" s="80"/>
      <c r="P25" s="80"/>
    </row>
    <row r="26" spans="1:16" x14ac:dyDescent="0.25">
      <c r="A26" s="33">
        <f t="shared" si="1"/>
        <v>12</v>
      </c>
      <c r="B26" s="33" t="s">
        <v>584</v>
      </c>
      <c r="C26" s="290" t="s">
        <v>586</v>
      </c>
      <c r="D26" s="33" t="s">
        <v>77</v>
      </c>
      <c r="E26" s="33">
        <v>12</v>
      </c>
      <c r="F26" s="86"/>
      <c r="G26" s="86"/>
      <c r="H26" s="86"/>
      <c r="I26" s="86"/>
      <c r="J26" s="86"/>
      <c r="K26" s="80"/>
      <c r="L26" s="80"/>
      <c r="M26" s="80"/>
      <c r="N26" s="80"/>
      <c r="O26" s="80"/>
      <c r="P26" s="80"/>
    </row>
    <row r="27" spans="1:16" ht="22.5" x14ac:dyDescent="0.25">
      <c r="A27" s="33">
        <f t="shared" si="1"/>
        <v>13</v>
      </c>
      <c r="B27" s="33"/>
      <c r="C27" s="36" t="s">
        <v>587</v>
      </c>
      <c r="D27" s="33" t="s">
        <v>426</v>
      </c>
      <c r="E27" s="33">
        <f>E16</f>
        <v>3</v>
      </c>
      <c r="F27" s="86"/>
      <c r="G27" s="86"/>
      <c r="H27" s="86"/>
      <c r="I27" s="86"/>
      <c r="J27" s="86"/>
      <c r="K27" s="80"/>
      <c r="L27" s="80"/>
      <c r="M27" s="80"/>
      <c r="N27" s="80"/>
      <c r="O27" s="80"/>
      <c r="P27" s="80"/>
    </row>
    <row r="28" spans="1:16" ht="22.5" x14ac:dyDescent="0.25">
      <c r="A28" s="33">
        <f t="shared" si="1"/>
        <v>14</v>
      </c>
      <c r="B28" s="33"/>
      <c r="C28" s="36" t="s">
        <v>588</v>
      </c>
      <c r="D28" s="33" t="s">
        <v>60</v>
      </c>
      <c r="E28" s="33">
        <f>E16*0.5</f>
        <v>1.5</v>
      </c>
      <c r="F28" s="86"/>
      <c r="G28" s="86"/>
      <c r="H28" s="86"/>
      <c r="I28" s="86"/>
      <c r="J28" s="86"/>
      <c r="K28" s="80"/>
      <c r="L28" s="80"/>
      <c r="M28" s="80"/>
      <c r="N28" s="80"/>
      <c r="O28" s="80"/>
      <c r="P28" s="80"/>
    </row>
    <row r="29" spans="1:16" x14ac:dyDescent="0.25">
      <c r="A29" s="33">
        <f t="shared" si="1"/>
        <v>15</v>
      </c>
      <c r="B29" s="33"/>
      <c r="C29" s="84" t="s">
        <v>589</v>
      </c>
      <c r="D29" s="85" t="s">
        <v>77</v>
      </c>
      <c r="E29" s="85">
        <f>E16</f>
        <v>3</v>
      </c>
      <c r="F29" s="86"/>
      <c r="G29" s="86"/>
      <c r="H29" s="86"/>
      <c r="I29" s="86"/>
      <c r="J29" s="86"/>
      <c r="K29" s="80"/>
      <c r="L29" s="80"/>
      <c r="M29" s="80"/>
      <c r="N29" s="80"/>
      <c r="O29" s="80"/>
      <c r="P29" s="80"/>
    </row>
    <row r="30" spans="1:16" ht="22.5" x14ac:dyDescent="0.25">
      <c r="A30" s="33">
        <f t="shared" si="1"/>
        <v>16</v>
      </c>
      <c r="B30" s="33"/>
      <c r="C30" s="36" t="s">
        <v>590</v>
      </c>
      <c r="D30" s="33" t="s">
        <v>54</v>
      </c>
      <c r="E30" s="33">
        <f>E22</f>
        <v>6</v>
      </c>
      <c r="F30" s="86"/>
      <c r="G30" s="86"/>
      <c r="H30" s="86"/>
      <c r="I30" s="86"/>
      <c r="J30" s="86"/>
      <c r="K30" s="80"/>
      <c r="L30" s="80"/>
      <c r="M30" s="80"/>
      <c r="N30" s="80"/>
      <c r="O30" s="80"/>
      <c r="P30" s="80"/>
    </row>
    <row r="31" spans="1:16" x14ac:dyDescent="0.25">
      <c r="A31" s="33">
        <f t="shared" si="1"/>
        <v>17</v>
      </c>
      <c r="B31" s="33"/>
      <c r="C31" s="36" t="s">
        <v>591</v>
      </c>
      <c r="D31" s="33" t="s">
        <v>54</v>
      </c>
      <c r="E31" s="33">
        <f>E16*4</f>
        <v>12</v>
      </c>
      <c r="F31" s="86"/>
      <c r="G31" s="86"/>
      <c r="H31" s="86"/>
      <c r="I31" s="86"/>
      <c r="J31" s="86"/>
      <c r="K31" s="80"/>
      <c r="L31" s="80"/>
      <c r="M31" s="80"/>
      <c r="N31" s="80"/>
      <c r="O31" s="80"/>
      <c r="P31" s="80"/>
    </row>
    <row r="32" spans="1:16" x14ac:dyDescent="0.25">
      <c r="A32" s="33">
        <f t="shared" si="1"/>
        <v>18</v>
      </c>
      <c r="B32" s="33"/>
      <c r="C32" s="36" t="s">
        <v>592</v>
      </c>
      <c r="D32" s="33" t="s">
        <v>54</v>
      </c>
      <c r="E32" s="33">
        <f>E16*4</f>
        <v>12</v>
      </c>
      <c r="F32" s="86"/>
      <c r="G32" s="86"/>
      <c r="H32" s="86"/>
      <c r="I32" s="86"/>
      <c r="J32" s="86"/>
      <c r="K32" s="80"/>
      <c r="L32" s="80"/>
      <c r="M32" s="80"/>
      <c r="N32" s="80"/>
      <c r="O32" s="80"/>
      <c r="P32" s="80"/>
    </row>
    <row r="33" spans="1:16" x14ac:dyDescent="0.25">
      <c r="A33" s="33">
        <f t="shared" si="1"/>
        <v>19</v>
      </c>
      <c r="B33" s="33"/>
      <c r="C33" s="36" t="s">
        <v>593</v>
      </c>
      <c r="D33" s="33" t="s">
        <v>99</v>
      </c>
      <c r="E33" s="33">
        <f>E30*0.2*1.5</f>
        <v>1.8000000000000003</v>
      </c>
      <c r="F33" s="86"/>
      <c r="G33" s="86"/>
      <c r="H33" s="86"/>
      <c r="I33" s="86"/>
      <c r="J33" s="86"/>
      <c r="K33" s="80"/>
      <c r="L33" s="80"/>
      <c r="M33" s="80"/>
      <c r="N33" s="80"/>
      <c r="O33" s="80"/>
      <c r="P33" s="80"/>
    </row>
    <row r="34" spans="1:16" x14ac:dyDescent="0.25">
      <c r="A34" s="33">
        <f t="shared" si="1"/>
        <v>20</v>
      </c>
      <c r="B34" s="33"/>
      <c r="C34" s="84" t="s">
        <v>594</v>
      </c>
      <c r="D34" s="85" t="s">
        <v>595</v>
      </c>
      <c r="E34" s="85">
        <f>E16</f>
        <v>3</v>
      </c>
      <c r="F34" s="86"/>
      <c r="G34" s="86"/>
      <c r="H34" s="86"/>
      <c r="I34" s="86"/>
      <c r="J34" s="86"/>
      <c r="K34" s="80"/>
      <c r="L34" s="80"/>
      <c r="M34" s="80"/>
      <c r="N34" s="80"/>
      <c r="O34" s="80"/>
      <c r="P34" s="80"/>
    </row>
    <row r="35" spans="1:16" ht="22.5" x14ac:dyDescent="0.25">
      <c r="A35" s="33">
        <f t="shared" si="1"/>
        <v>21</v>
      </c>
      <c r="B35" s="33"/>
      <c r="C35" s="36" t="s">
        <v>596</v>
      </c>
      <c r="D35" s="33" t="s">
        <v>597</v>
      </c>
      <c r="E35" s="33">
        <f>E34</f>
        <v>3</v>
      </c>
      <c r="F35" s="86"/>
      <c r="G35" s="86"/>
      <c r="H35" s="86"/>
      <c r="I35" s="86"/>
      <c r="J35" s="86"/>
      <c r="K35" s="80"/>
      <c r="L35" s="80"/>
      <c r="M35" s="80"/>
      <c r="N35" s="80"/>
      <c r="O35" s="80"/>
      <c r="P35" s="80"/>
    </row>
    <row r="36" spans="1:16" ht="22.5" x14ac:dyDescent="0.25">
      <c r="A36" s="33">
        <f t="shared" si="1"/>
        <v>22</v>
      </c>
      <c r="B36" s="33"/>
      <c r="C36" s="36" t="s">
        <v>598</v>
      </c>
      <c r="D36" s="33" t="s">
        <v>597</v>
      </c>
      <c r="E36" s="33">
        <f>E35</f>
        <v>3</v>
      </c>
      <c r="F36" s="86"/>
      <c r="G36" s="86"/>
      <c r="H36" s="86"/>
      <c r="I36" s="86"/>
      <c r="J36" s="86"/>
      <c r="K36" s="80"/>
      <c r="L36" s="80"/>
      <c r="M36" s="80"/>
      <c r="N36" s="80"/>
      <c r="O36" s="80"/>
      <c r="P36" s="80"/>
    </row>
    <row r="37" spans="1:16" ht="22.5" x14ac:dyDescent="0.25">
      <c r="A37" s="33">
        <f t="shared" si="1"/>
        <v>23</v>
      </c>
      <c r="B37" s="33"/>
      <c r="C37" s="36" t="s">
        <v>599</v>
      </c>
      <c r="D37" s="33" t="s">
        <v>597</v>
      </c>
      <c r="E37" s="33">
        <f>E36</f>
        <v>3</v>
      </c>
      <c r="F37" s="86"/>
      <c r="G37" s="86"/>
      <c r="H37" s="86"/>
      <c r="I37" s="86"/>
      <c r="J37" s="86"/>
      <c r="K37" s="80"/>
      <c r="L37" s="80"/>
      <c r="M37" s="80"/>
      <c r="N37" s="80"/>
      <c r="O37" s="80"/>
      <c r="P37" s="80"/>
    </row>
    <row r="38" spans="1:16" x14ac:dyDescent="0.25">
      <c r="A38" s="33">
        <f t="shared" si="1"/>
        <v>24</v>
      </c>
      <c r="B38" s="33"/>
      <c r="C38" s="36" t="s">
        <v>600</v>
      </c>
      <c r="D38" s="33" t="s">
        <v>60</v>
      </c>
      <c r="E38" s="33">
        <f>E16*3</f>
        <v>9</v>
      </c>
      <c r="F38" s="86"/>
      <c r="G38" s="86"/>
      <c r="H38" s="86"/>
      <c r="I38" s="86"/>
      <c r="J38" s="86"/>
      <c r="K38" s="80"/>
      <c r="L38" s="80"/>
      <c r="M38" s="80"/>
      <c r="N38" s="80"/>
      <c r="O38" s="80"/>
      <c r="P38" s="80"/>
    </row>
    <row r="39" spans="1:16" x14ac:dyDescent="0.25">
      <c r="A39" s="33">
        <f t="shared" si="1"/>
        <v>25</v>
      </c>
      <c r="B39" s="33"/>
      <c r="C39" s="36" t="s">
        <v>601</v>
      </c>
      <c r="D39" s="33" t="s">
        <v>426</v>
      </c>
      <c r="E39" s="33">
        <f>E17*3</f>
        <v>9</v>
      </c>
      <c r="F39" s="86"/>
      <c r="G39" s="86"/>
      <c r="H39" s="86"/>
      <c r="I39" s="86"/>
      <c r="J39" s="86"/>
      <c r="K39" s="80"/>
      <c r="L39" s="80"/>
      <c r="M39" s="80"/>
      <c r="N39" s="80"/>
      <c r="O39" s="80"/>
      <c r="P39" s="80"/>
    </row>
    <row r="40" spans="1:16" x14ac:dyDescent="0.25">
      <c r="A40" s="33">
        <f t="shared" si="1"/>
        <v>26</v>
      </c>
      <c r="B40" s="33"/>
      <c r="C40" s="36" t="s">
        <v>602</v>
      </c>
      <c r="D40" s="33" t="s">
        <v>426</v>
      </c>
      <c r="E40" s="33">
        <f>E39</f>
        <v>9</v>
      </c>
      <c r="F40" s="86"/>
      <c r="G40" s="86"/>
      <c r="H40" s="86"/>
      <c r="I40" s="86"/>
      <c r="J40" s="86"/>
      <c r="K40" s="80"/>
      <c r="L40" s="80"/>
      <c r="M40" s="80"/>
      <c r="N40" s="80"/>
      <c r="O40" s="80"/>
      <c r="P40" s="80"/>
    </row>
    <row r="41" spans="1:16" ht="22.5" x14ac:dyDescent="0.25">
      <c r="A41" s="33">
        <f t="shared" si="1"/>
        <v>27</v>
      </c>
      <c r="B41" s="33"/>
      <c r="C41" s="36" t="s">
        <v>603</v>
      </c>
      <c r="D41" s="33" t="s">
        <v>77</v>
      </c>
      <c r="E41" s="33">
        <f>E40</f>
        <v>9</v>
      </c>
      <c r="F41" s="86"/>
      <c r="G41" s="86"/>
      <c r="H41" s="86"/>
      <c r="I41" s="86"/>
      <c r="J41" s="86"/>
      <c r="K41" s="80"/>
      <c r="L41" s="80"/>
      <c r="M41" s="80"/>
      <c r="N41" s="80"/>
      <c r="O41" s="80"/>
      <c r="P41" s="80"/>
    </row>
    <row r="42" spans="1:16" x14ac:dyDescent="0.25">
      <c r="A42" s="31"/>
      <c r="B42" s="25"/>
      <c r="C42" s="27"/>
      <c r="D42" s="25"/>
      <c r="E42" s="25"/>
      <c r="F42" s="27"/>
      <c r="G42" s="25"/>
      <c r="H42" s="25"/>
      <c r="I42" s="25"/>
      <c r="J42" s="25"/>
      <c r="K42" s="25"/>
      <c r="L42" s="25"/>
      <c r="M42" s="25"/>
      <c r="N42" s="25"/>
      <c r="O42" s="25"/>
      <c r="P42" s="25"/>
    </row>
    <row r="43" spans="1:16" x14ac:dyDescent="0.25">
      <c r="A43" s="31"/>
      <c r="B43" s="31"/>
      <c r="C43" s="101" t="s">
        <v>101</v>
      </c>
      <c r="D43" s="37"/>
      <c r="E43" s="37"/>
      <c r="F43" s="37"/>
      <c r="G43" s="37"/>
      <c r="H43" s="37"/>
      <c r="I43" s="37"/>
      <c r="J43" s="37"/>
      <c r="K43" s="100"/>
      <c r="L43" s="100">
        <f>SUM(L16:L42)</f>
        <v>0</v>
      </c>
      <c r="M43" s="100">
        <f>SUM(M16:M42)</f>
        <v>0</v>
      </c>
      <c r="N43" s="100">
        <f>SUM(N16:N42)</f>
        <v>0</v>
      </c>
      <c r="O43" s="100">
        <f>SUM(O16:O42)</f>
        <v>0</v>
      </c>
      <c r="P43" s="100">
        <f>SUM(P16:P42)</f>
        <v>0</v>
      </c>
    </row>
    <row r="44" spans="1:16" x14ac:dyDescent="0.25">
      <c r="A44" s="31"/>
      <c r="B44" s="31"/>
      <c r="C44" s="19" t="s">
        <v>102</v>
      </c>
      <c r="D44" s="38"/>
      <c r="E44" s="104"/>
      <c r="F44" s="184">
        <v>0</v>
      </c>
      <c r="G44" s="37"/>
      <c r="H44" s="37"/>
      <c r="I44" s="37"/>
      <c r="J44" s="37"/>
      <c r="K44" s="37"/>
      <c r="L44" s="100"/>
      <c r="M44" s="100"/>
      <c r="N44" s="100">
        <f>N43*F44</f>
        <v>0</v>
      </c>
      <c r="O44" s="100"/>
      <c r="P44" s="100"/>
    </row>
    <row r="45" spans="1:16" x14ac:dyDescent="0.25">
      <c r="A45" s="31"/>
      <c r="B45" s="31"/>
      <c r="C45" s="101" t="s">
        <v>103</v>
      </c>
      <c r="D45" s="37"/>
      <c r="E45" s="37"/>
      <c r="F45" s="37"/>
      <c r="G45" s="104"/>
      <c r="H45" s="37"/>
      <c r="I45" s="37"/>
      <c r="J45" s="37"/>
      <c r="K45" s="37"/>
      <c r="L45" s="100">
        <f>SUM(L43:L44)</f>
        <v>0</v>
      </c>
      <c r="M45" s="100">
        <f>SUM(M43:M44)</f>
        <v>0</v>
      </c>
      <c r="N45" s="100">
        <f>SUM(N43:N44)</f>
        <v>0</v>
      </c>
      <c r="O45" s="100">
        <f>SUM(O43:O44)</f>
        <v>0</v>
      </c>
      <c r="P45" s="100">
        <f>SUM(M45:O45)</f>
        <v>0</v>
      </c>
    </row>
    <row r="46" spans="1:16" x14ac:dyDescent="0.25">
      <c r="A46" s="31"/>
      <c r="B46" s="31"/>
      <c r="C46" s="38"/>
      <c r="D46" s="104"/>
      <c r="E46" s="104"/>
      <c r="F46" s="25"/>
      <c r="G46" s="104"/>
      <c r="H46" s="104"/>
      <c r="I46" s="104"/>
      <c r="J46" s="104"/>
      <c r="K46" s="104"/>
      <c r="L46" s="104"/>
      <c r="M46" s="104"/>
      <c r="N46" s="104"/>
      <c r="O46" s="104"/>
    </row>
    <row r="47" spans="1:16" x14ac:dyDescent="0.25">
      <c r="A47" s="31"/>
      <c r="B47" s="52"/>
      <c r="C47" s="53" t="s">
        <v>27</v>
      </c>
      <c r="D47" s="23"/>
      <c r="E47" s="27"/>
      <c r="F47" s="277"/>
      <c r="G47" s="27"/>
      <c r="H47" s="27"/>
      <c r="I47" s="27"/>
      <c r="J47" s="27"/>
      <c r="K47" s="104"/>
      <c r="L47" s="104"/>
      <c r="M47" s="104"/>
      <c r="N47" s="104"/>
      <c r="O47" s="104"/>
    </row>
    <row r="48" spans="1:16" x14ac:dyDescent="0.25">
      <c r="A48" s="31"/>
      <c r="B48" s="52"/>
      <c r="C48" s="54" t="s">
        <v>28</v>
      </c>
      <c r="D48" s="23"/>
      <c r="E48" s="27"/>
      <c r="F48" s="27"/>
      <c r="G48" s="27"/>
      <c r="H48" s="27"/>
      <c r="I48" s="27"/>
      <c r="J48" s="27"/>
      <c r="K48" s="104"/>
      <c r="L48" s="104"/>
      <c r="M48" s="104"/>
      <c r="N48" s="104"/>
      <c r="O48" s="104"/>
    </row>
    <row r="49" spans="1:10" x14ac:dyDescent="0.25">
      <c r="A49" s="31"/>
      <c r="B49" s="52"/>
      <c r="C49" s="43"/>
      <c r="D49" s="23"/>
      <c r="E49" s="27"/>
      <c r="F49" s="27"/>
      <c r="G49" s="27"/>
      <c r="H49" s="27"/>
      <c r="I49" s="27"/>
      <c r="J49" s="27"/>
    </row>
    <row r="50" spans="1:10" x14ac:dyDescent="0.25">
      <c r="A50" s="31"/>
      <c r="B50" s="52"/>
      <c r="C50" s="55" t="s">
        <v>29</v>
      </c>
      <c r="D50" s="23"/>
      <c r="E50" s="27"/>
      <c r="F50" s="277"/>
      <c r="G50" s="27"/>
      <c r="H50" s="27"/>
      <c r="I50" s="27"/>
      <c r="J50" s="27"/>
    </row>
    <row r="51" spans="1:10" x14ac:dyDescent="0.25">
      <c r="A51" s="31"/>
      <c r="B51" s="52"/>
      <c r="C51" s="48" t="s">
        <v>30</v>
      </c>
      <c r="D51" s="23"/>
      <c r="E51" s="27"/>
      <c r="F51" s="27"/>
      <c r="G51" s="27"/>
      <c r="H51" s="27"/>
      <c r="I51" s="27"/>
      <c r="J51" s="27"/>
    </row>
  </sheetData>
  <mergeCells count="9">
    <mergeCell ref="A1:F1"/>
    <mergeCell ref="A9:O9"/>
    <mergeCell ref="A11:A12"/>
    <mergeCell ref="B11:B12"/>
    <mergeCell ref="C11:C12"/>
    <mergeCell ref="D11:D12"/>
    <mergeCell ref="E11:E12"/>
    <mergeCell ref="F11:K11"/>
    <mergeCell ref="L11:P11"/>
  </mergeCells>
  <pageMargins left="0" right="0" top="0.78749999999999998" bottom="0.39374999999999999" header="0.51180555555555496" footer="0.51180555555555496"/>
  <pageSetup paperSize="0" scale="0" firstPageNumber="0" orientation="portrait" usePrinterDefaults="0" horizontalDpi="0" verticalDpi="0" copies="0"/>
  <rowBreaks count="2" manualBreakCount="2">
    <brk id="25" max="16383" man="1"/>
    <brk id="4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MK77"/>
  <sheetViews>
    <sheetView topLeftCell="A52" zoomScaleNormal="100" workbookViewId="0">
      <selection activeCell="C73" sqref="C73"/>
    </sheetView>
  </sheetViews>
  <sheetFormatPr defaultRowHeight="15" x14ac:dyDescent="0.25"/>
  <cols>
    <col min="1" max="1" width="4" style="16"/>
    <col min="2" max="2" width="7.7109375" style="16"/>
    <col min="3" max="3" width="38" style="56"/>
    <col min="4" max="4" width="4.7109375" style="16"/>
    <col min="5" max="5" width="7.28515625" style="16"/>
    <col min="6" max="6" width="0" style="16" hidden="1"/>
    <col min="7" max="7" width="5.42578125" style="57"/>
    <col min="8" max="12" width="9" style="16"/>
    <col min="13" max="14" width="8.42578125" style="16"/>
    <col min="15" max="15" width="9.5703125" style="16"/>
    <col min="16" max="16" width="7" style="16"/>
    <col min="17" max="17" width="8.42578125" style="16"/>
    <col min="18" max="1018" width="7.85546875" style="16"/>
    <col min="1019" max="1025" width="8.7109375" style="58"/>
  </cols>
  <sheetData>
    <row r="1" spans="1:1024" s="19" customFormat="1" ht="11.25" x14ac:dyDescent="0.25">
      <c r="B1" s="18"/>
      <c r="C1" s="18"/>
      <c r="D1" s="18"/>
      <c r="E1" s="18"/>
      <c r="F1" s="18"/>
      <c r="G1" s="18" t="s">
        <v>31</v>
      </c>
      <c r="H1" s="59">
        <f>KPDV!A13</f>
        <v>1</v>
      </c>
      <c r="I1" s="18"/>
      <c r="J1" s="18"/>
      <c r="K1" s="18"/>
      <c r="L1" s="18"/>
    </row>
    <row r="2" spans="1:1024" s="21" customFormat="1" ht="11.25" x14ac:dyDescent="0.25">
      <c r="A2" s="13" t="s">
        <v>32</v>
      </c>
      <c r="B2" s="13"/>
      <c r="C2" s="13"/>
      <c r="D2" s="13"/>
      <c r="E2" s="13"/>
      <c r="F2" s="20"/>
      <c r="G2" s="20"/>
      <c r="H2" s="60"/>
      <c r="I2" s="20"/>
      <c r="J2" s="20"/>
      <c r="K2" s="20"/>
      <c r="L2" s="20"/>
    </row>
    <row r="3" spans="1:1024" s="23" customFormat="1" ht="11.25" x14ac:dyDescent="0.25">
      <c r="A3" s="23" t="str">
        <f>KPDV!A3</f>
        <v>Būves nosaukums: Daudzdzīvokļu dzīvojamās mājas fasādes vienkāršotā atjaunošana</v>
      </c>
    </row>
    <row r="4" spans="1:1024" s="23" customFormat="1" ht="19.350000000000001" customHeight="1" x14ac:dyDescent="0.25">
      <c r="A4" s="23" t="str">
        <f>KPDV!A4</f>
        <v>Objekta nosaukums: Daudzdzīvokļu dzīvojamās mājas Ed. Tisē ielā 48, Liepājā, 
fasādes vienkāršotā atjaunošana</v>
      </c>
    </row>
    <row r="5" spans="1:1024" s="25" customFormat="1" x14ac:dyDescent="0.25">
      <c r="A5" s="27" t="str">
        <f>KPDV!A5</f>
        <v>Objekta adrese: Tisē iela 48 Liepājā</v>
      </c>
      <c r="B5" s="27"/>
      <c r="C5" s="52"/>
      <c r="D5" s="27"/>
      <c r="E5" s="27"/>
      <c r="F5" s="27"/>
      <c r="G5" s="27"/>
      <c r="H5" s="27"/>
      <c r="I5" s="27"/>
      <c r="J5" s="27"/>
      <c r="K5" s="27"/>
      <c r="L5" s="27"/>
      <c r="M5" s="27"/>
      <c r="N5" s="27"/>
      <c r="O5" s="27"/>
      <c r="P5" s="27"/>
      <c r="Q5" s="27"/>
      <c r="AMD5"/>
      <c r="AME5"/>
      <c r="AMF5"/>
      <c r="AMG5"/>
      <c r="AMH5"/>
      <c r="AMI5"/>
      <c r="AMJ5"/>
    </row>
    <row r="6" spans="1:1024" s="25" customFormat="1" x14ac:dyDescent="0.25">
      <c r="A6" s="27" t="str">
        <f>KPDV!A6</f>
        <v>Pasūtījuma Nr.WS-64-15</v>
      </c>
      <c r="B6" s="27"/>
      <c r="C6" s="52"/>
      <c r="D6" s="27"/>
      <c r="E6" s="27"/>
      <c r="F6" s="27"/>
      <c r="G6" s="27"/>
      <c r="H6" s="27"/>
      <c r="I6" s="27"/>
      <c r="J6" s="27"/>
      <c r="K6" s="27"/>
      <c r="L6" s="27"/>
      <c r="M6" s="27"/>
      <c r="N6" s="27"/>
      <c r="O6" s="27"/>
      <c r="P6" s="27"/>
      <c r="Q6" s="27"/>
      <c r="AMD6"/>
      <c r="AME6"/>
      <c r="AMF6"/>
      <c r="AMG6"/>
      <c r="AMH6"/>
      <c r="AMI6"/>
      <c r="AMJ6"/>
    </row>
    <row r="7" spans="1:1024" s="25" customFormat="1" x14ac:dyDescent="0.25">
      <c r="A7" s="27" t="str">
        <f>KPDV!A7</f>
        <v>Pasūtītājs: SIA "Liepājas namu apsaimniekotājs"</v>
      </c>
      <c r="B7" s="27"/>
      <c r="C7" s="52"/>
      <c r="D7" s="27"/>
      <c r="E7" s="27"/>
      <c r="F7" s="27"/>
      <c r="G7" s="27"/>
      <c r="H7" s="27"/>
      <c r="I7" s="27"/>
      <c r="J7" s="27"/>
      <c r="K7" s="27"/>
      <c r="L7" s="27"/>
      <c r="M7" s="27"/>
      <c r="N7" s="27"/>
      <c r="O7" s="27"/>
      <c r="P7" s="27"/>
      <c r="Q7" s="27"/>
      <c r="AMD7"/>
      <c r="AME7"/>
      <c r="AMF7"/>
      <c r="AMG7"/>
      <c r="AMH7"/>
      <c r="AMI7"/>
      <c r="AMJ7"/>
    </row>
    <row r="8" spans="1:1024" s="25" customFormat="1" x14ac:dyDescent="0.25">
      <c r="A8" s="27"/>
      <c r="B8" s="27"/>
      <c r="C8" s="27"/>
      <c r="D8" s="61" t="s">
        <v>33</v>
      </c>
      <c r="E8" s="62" t="s">
        <v>34</v>
      </c>
      <c r="G8" s="63" t="s">
        <v>35</v>
      </c>
      <c r="J8" s="27"/>
      <c r="K8" s="27"/>
      <c r="L8" s="27"/>
      <c r="M8" s="27"/>
      <c r="N8" s="27"/>
      <c r="O8" s="27"/>
      <c r="P8" s="27"/>
      <c r="Q8" s="27"/>
      <c r="AMD8"/>
      <c r="AME8"/>
      <c r="AMF8"/>
      <c r="AMG8"/>
      <c r="AMH8"/>
      <c r="AMI8"/>
      <c r="AMJ8"/>
    </row>
    <row r="9" spans="1:1024" s="25" customFormat="1" x14ac:dyDescent="0.25">
      <c r="A9" s="9" t="s">
        <v>36</v>
      </c>
      <c r="B9" s="9"/>
      <c r="C9" s="9"/>
      <c r="D9" s="9"/>
      <c r="E9" s="9"/>
      <c r="F9" s="9"/>
      <c r="G9" s="9"/>
      <c r="H9" s="9"/>
      <c r="I9" s="9"/>
      <c r="J9" s="9"/>
      <c r="K9" s="9"/>
      <c r="L9" s="9"/>
      <c r="M9" s="9"/>
      <c r="N9" s="9"/>
      <c r="O9" s="9"/>
      <c r="P9" s="9"/>
      <c r="Q9" s="64">
        <f>Q71</f>
        <v>0</v>
      </c>
      <c r="AMD9"/>
      <c r="AME9"/>
      <c r="AMF9"/>
      <c r="AMG9"/>
      <c r="AMH9"/>
      <c r="AMI9"/>
      <c r="AMJ9"/>
    </row>
    <row r="10" spans="1:1024" s="25" customFormat="1" x14ac:dyDescent="0.25">
      <c r="C10" s="27"/>
      <c r="F10" s="27"/>
      <c r="G10" s="27"/>
      <c r="H10" s="27"/>
      <c r="I10" s="27"/>
      <c r="J10" s="27"/>
      <c r="K10" s="27"/>
      <c r="L10" s="27"/>
      <c r="M10" s="27"/>
      <c r="N10" s="27"/>
      <c r="O10" s="27"/>
      <c r="P10" s="27"/>
      <c r="Q10" s="43" t="str">
        <f>KPDV!B10</f>
        <v>Tāme sastādīta  201_.gada ___.______________</v>
      </c>
      <c r="AMD10"/>
      <c r="AME10"/>
      <c r="AMF10"/>
      <c r="AMG10"/>
      <c r="AMH10"/>
      <c r="AMI10"/>
      <c r="AMJ10"/>
    </row>
    <row r="11" spans="1:1024" s="23" customFormat="1" ht="10.15" customHeight="1" x14ac:dyDescent="0.25">
      <c r="A11" s="8" t="s">
        <v>37</v>
      </c>
      <c r="B11" s="8" t="s">
        <v>38</v>
      </c>
      <c r="C11" s="7" t="s">
        <v>39</v>
      </c>
      <c r="D11" s="6" t="s">
        <v>40</v>
      </c>
      <c r="E11" s="8" t="s">
        <v>41</v>
      </c>
      <c r="F11" s="66"/>
      <c r="G11" s="5" t="s">
        <v>42</v>
      </c>
      <c r="H11" s="5"/>
      <c r="I11" s="5"/>
      <c r="J11" s="5"/>
      <c r="K11" s="5"/>
      <c r="L11" s="5"/>
      <c r="M11" s="5" t="s">
        <v>43</v>
      </c>
      <c r="N11" s="5"/>
      <c r="O11" s="5"/>
      <c r="P11" s="5"/>
      <c r="Q11" s="5"/>
    </row>
    <row r="12" spans="1:1024" s="25" customFormat="1" ht="54" x14ac:dyDescent="0.25">
      <c r="A12" s="8"/>
      <c r="B12" s="8"/>
      <c r="C12" s="7"/>
      <c r="D12" s="6"/>
      <c r="E12" s="8"/>
      <c r="F12" s="67"/>
      <c r="G12" s="68" t="s">
        <v>44</v>
      </c>
      <c r="H12" s="69" t="s">
        <v>45</v>
      </c>
      <c r="I12" s="70" t="s">
        <v>46</v>
      </c>
      <c r="J12" s="70" t="s">
        <v>47</v>
      </c>
      <c r="K12" s="70" t="s">
        <v>48</v>
      </c>
      <c r="L12" s="71" t="s">
        <v>49</v>
      </c>
      <c r="M12" s="68" t="s">
        <v>50</v>
      </c>
      <c r="N12" s="70" t="s">
        <v>46</v>
      </c>
      <c r="O12" s="70" t="s">
        <v>47</v>
      </c>
      <c r="P12" s="70" t="s">
        <v>48</v>
      </c>
      <c r="Q12" s="71" t="s">
        <v>51</v>
      </c>
      <c r="AMD12"/>
      <c r="AME12"/>
      <c r="AMF12"/>
      <c r="AMG12"/>
      <c r="AMH12"/>
      <c r="AMI12"/>
      <c r="AMJ12"/>
    </row>
    <row r="13" spans="1:1024" s="25" customFormat="1" x14ac:dyDescent="0.25">
      <c r="A13" s="72">
        <v>1</v>
      </c>
      <c r="B13" s="72">
        <f>A13+1</f>
        <v>2</v>
      </c>
      <c r="C13" s="73">
        <f>B13+1</f>
        <v>3</v>
      </c>
      <c r="D13" s="72">
        <f>C13+1</f>
        <v>4</v>
      </c>
      <c r="E13" s="72">
        <f>D13+1</f>
        <v>5</v>
      </c>
      <c r="F13" s="74"/>
      <c r="G13" s="75">
        <f>E13+1</f>
        <v>6</v>
      </c>
      <c r="H13" s="76">
        <f t="shared" ref="H13:Q13" si="0">G13+1</f>
        <v>7</v>
      </c>
      <c r="I13" s="76">
        <f t="shared" si="0"/>
        <v>8</v>
      </c>
      <c r="J13" s="76">
        <f t="shared" si="0"/>
        <v>9</v>
      </c>
      <c r="K13" s="77">
        <f t="shared" si="0"/>
        <v>10</v>
      </c>
      <c r="L13" s="72">
        <f t="shared" si="0"/>
        <v>11</v>
      </c>
      <c r="M13" s="75">
        <f t="shared" si="0"/>
        <v>12</v>
      </c>
      <c r="N13" s="76">
        <f t="shared" si="0"/>
        <v>13</v>
      </c>
      <c r="O13" s="76">
        <f t="shared" si="0"/>
        <v>14</v>
      </c>
      <c r="P13" s="76">
        <f t="shared" si="0"/>
        <v>15</v>
      </c>
      <c r="Q13" s="77">
        <f t="shared" si="0"/>
        <v>16</v>
      </c>
      <c r="AMD13"/>
      <c r="AME13"/>
      <c r="AMF13"/>
      <c r="AMG13"/>
      <c r="AMH13"/>
      <c r="AMI13"/>
      <c r="AMJ13"/>
    </row>
    <row r="14" spans="1:1024" s="25" customFormat="1" x14ac:dyDescent="0.25">
      <c r="A14" s="33">
        <f>IF(COUNTBLANK(B14)=1," ",COUNTA(B$14:B14))</f>
        <v>1</v>
      </c>
      <c r="B14" s="78" t="s">
        <v>52</v>
      </c>
      <c r="C14" s="36" t="s">
        <v>53</v>
      </c>
      <c r="D14" s="33" t="s">
        <v>54</v>
      </c>
      <c r="E14" s="79">
        <f>apjomi!U27*1.1</f>
        <v>115.50000000000001</v>
      </c>
      <c r="F14" s="33"/>
      <c r="G14" s="80"/>
      <c r="H14" s="80"/>
      <c r="I14" s="80"/>
      <c r="J14" s="80"/>
      <c r="K14" s="80"/>
      <c r="L14" s="80"/>
      <c r="M14" s="81"/>
      <c r="N14" s="81"/>
      <c r="O14" s="81"/>
      <c r="P14" s="81"/>
      <c r="Q14" s="81"/>
      <c r="AMD14"/>
      <c r="AME14"/>
      <c r="AMF14"/>
      <c r="AMG14"/>
      <c r="AMH14"/>
      <c r="AMI14"/>
      <c r="AMJ14"/>
    </row>
    <row r="15" spans="1:1024" s="25" customFormat="1" x14ac:dyDescent="0.25">
      <c r="A15" s="33" t="str">
        <f>IF(COUNTBLANK(B15)=1," ",COUNTA(B$14:B15))</f>
        <v xml:space="preserve"> </v>
      </c>
      <c r="B15" s="78"/>
      <c r="C15" s="36" t="s">
        <v>55</v>
      </c>
      <c r="D15" s="33" t="s">
        <v>56</v>
      </c>
      <c r="E15" s="82">
        <f>E14/3.5</f>
        <v>33.000000000000007</v>
      </c>
      <c r="F15" s="33">
        <v>4.5</v>
      </c>
      <c r="G15" s="80"/>
      <c r="H15" s="80"/>
      <c r="I15" s="80"/>
      <c r="J15" s="83"/>
      <c r="K15" s="80"/>
      <c r="L15" s="80"/>
      <c r="M15" s="81"/>
      <c r="N15" s="81"/>
      <c r="O15" s="81"/>
      <c r="P15" s="81"/>
      <c r="Q15" s="81"/>
      <c r="AMD15"/>
      <c r="AME15"/>
      <c r="AMF15"/>
      <c r="AMG15"/>
      <c r="AMH15"/>
      <c r="AMI15"/>
      <c r="AMJ15"/>
    </row>
    <row r="16" spans="1:1024" s="25" customFormat="1" x14ac:dyDescent="0.25">
      <c r="A16" s="33" t="str">
        <f>IF(COUNTBLANK(B16)=1," ",COUNTA(B$14:B16))</f>
        <v xml:space="preserve"> </v>
      </c>
      <c r="B16" s="78"/>
      <c r="C16" s="36" t="s">
        <v>57</v>
      </c>
      <c r="D16" s="33" t="s">
        <v>56</v>
      </c>
      <c r="E16" s="82">
        <f>E15+1</f>
        <v>34.000000000000007</v>
      </c>
      <c r="F16" s="33">
        <v>4.5</v>
      </c>
      <c r="G16" s="80"/>
      <c r="H16" s="80"/>
      <c r="I16" s="80"/>
      <c r="J16" s="83"/>
      <c r="K16" s="80"/>
      <c r="L16" s="80"/>
      <c r="M16" s="81"/>
      <c r="N16" s="81"/>
      <c r="O16" s="81"/>
      <c r="P16" s="81"/>
      <c r="Q16" s="81"/>
      <c r="AMD16"/>
      <c r="AME16"/>
      <c r="AMF16"/>
      <c r="AMG16"/>
      <c r="AMH16"/>
      <c r="AMI16"/>
      <c r="AMJ16"/>
    </row>
    <row r="17" spans="1:1024" s="25" customFormat="1" x14ac:dyDescent="0.25">
      <c r="A17" s="33">
        <f>IF(COUNTBLANK(B17)=1," ",COUNTA(B$14:B17))</f>
        <v>2</v>
      </c>
      <c r="B17" s="78" t="s">
        <v>52</v>
      </c>
      <c r="C17" s="36" t="s">
        <v>58</v>
      </c>
      <c r="D17" s="33" t="s">
        <v>56</v>
      </c>
      <c r="E17" s="82">
        <v>2</v>
      </c>
      <c r="F17" s="33"/>
      <c r="G17" s="80"/>
      <c r="H17" s="80"/>
      <c r="I17" s="80"/>
      <c r="J17" s="83"/>
      <c r="K17" s="80"/>
      <c r="L17" s="80"/>
      <c r="M17" s="81"/>
      <c r="N17" s="81"/>
      <c r="O17" s="81"/>
      <c r="P17" s="81"/>
      <c r="Q17" s="81"/>
      <c r="AMD17"/>
      <c r="AME17"/>
      <c r="AMF17"/>
      <c r="AMG17"/>
      <c r="AMH17"/>
      <c r="AMI17"/>
      <c r="AMJ17"/>
    </row>
    <row r="18" spans="1:1024" s="25" customFormat="1" x14ac:dyDescent="0.25">
      <c r="A18" s="33">
        <f>IF(COUNTBLANK(B18)=1," ",COUNTA(B$14:B18))</f>
        <v>3</v>
      </c>
      <c r="B18" s="78" t="s">
        <v>52</v>
      </c>
      <c r="C18" s="36" t="s">
        <v>59</v>
      </c>
      <c r="D18" s="33" t="s">
        <v>60</v>
      </c>
      <c r="E18" s="79">
        <f>apjomi!U27*26</f>
        <v>2730</v>
      </c>
      <c r="F18" s="33"/>
      <c r="G18" s="80"/>
      <c r="H18" s="80"/>
      <c r="I18" s="80"/>
      <c r="J18" s="80"/>
      <c r="K18" s="80"/>
      <c r="L18" s="80"/>
      <c r="M18" s="81"/>
      <c r="N18" s="81"/>
      <c r="O18" s="81"/>
      <c r="P18" s="81"/>
      <c r="Q18" s="81"/>
      <c r="AMD18"/>
      <c r="AME18"/>
      <c r="AMF18"/>
      <c r="AMG18"/>
      <c r="AMH18"/>
      <c r="AMI18"/>
      <c r="AMJ18"/>
    </row>
    <row r="19" spans="1:1024" s="25" customFormat="1" x14ac:dyDescent="0.25">
      <c r="A19" s="33" t="str">
        <f>IF(COUNTBLANK(B19)=1," ",COUNTA(B$14:B19))</f>
        <v xml:space="preserve"> </v>
      </c>
      <c r="B19" s="78"/>
      <c r="C19" s="36" t="s">
        <v>61</v>
      </c>
      <c r="D19" s="33" t="s">
        <v>60</v>
      </c>
      <c r="E19" s="79">
        <f>E18</f>
        <v>2730</v>
      </c>
      <c r="F19" s="33"/>
      <c r="G19" s="80"/>
      <c r="H19" s="80"/>
      <c r="I19" s="80"/>
      <c r="J19" s="80"/>
      <c r="K19" s="80"/>
      <c r="L19" s="80"/>
      <c r="M19" s="81"/>
      <c r="N19" s="81"/>
      <c r="O19" s="81"/>
      <c r="P19" s="81"/>
      <c r="Q19" s="81"/>
      <c r="AMD19"/>
      <c r="AME19"/>
      <c r="AMF19"/>
      <c r="AMG19"/>
      <c r="AMH19"/>
      <c r="AMI19"/>
      <c r="AMJ19"/>
    </row>
    <row r="20" spans="1:1024" s="25" customFormat="1" x14ac:dyDescent="0.25">
      <c r="A20" s="33">
        <f>IF(COUNTBLANK(B20)=1," ",COUNTA(B$14:B20))</f>
        <v>4</v>
      </c>
      <c r="B20" s="78" t="s">
        <v>52</v>
      </c>
      <c r="C20" s="36" t="s">
        <v>62</v>
      </c>
      <c r="D20" s="33" t="s">
        <v>56</v>
      </c>
      <c r="E20" s="79">
        <v>1</v>
      </c>
      <c r="F20" s="33"/>
      <c r="G20" s="80"/>
      <c r="H20" s="80"/>
      <c r="I20" s="80"/>
      <c r="J20" s="80"/>
      <c r="K20" s="80"/>
      <c r="L20" s="80"/>
      <c r="M20" s="81"/>
      <c r="N20" s="81"/>
      <c r="O20" s="81"/>
      <c r="P20" s="81"/>
      <c r="Q20" s="81"/>
      <c r="AMD20"/>
      <c r="AME20"/>
      <c r="AMF20"/>
      <c r="AMG20"/>
      <c r="AMH20"/>
      <c r="AMI20"/>
      <c r="AMJ20"/>
    </row>
    <row r="21" spans="1:1024" s="25" customFormat="1" ht="14.25" customHeight="1" x14ac:dyDescent="0.25">
      <c r="A21" s="33" t="str">
        <f>IF(COUNTBLANK(B21)=1," ",COUNTA(B$14:B21))</f>
        <v xml:space="preserve"> </v>
      </c>
      <c r="B21" s="78"/>
      <c r="C21" s="36" t="s">
        <v>63</v>
      </c>
      <c r="D21" s="33" t="s">
        <v>64</v>
      </c>
      <c r="E21" s="79">
        <v>16</v>
      </c>
      <c r="F21" s="33"/>
      <c r="G21" s="80"/>
      <c r="H21" s="80"/>
      <c r="I21" s="80"/>
      <c r="J21" s="80"/>
      <c r="K21" s="80"/>
      <c r="L21" s="80"/>
      <c r="M21" s="81"/>
      <c r="N21" s="81"/>
      <c r="O21" s="81"/>
      <c r="P21" s="81"/>
      <c r="Q21" s="81"/>
      <c r="AMD21"/>
      <c r="AME21"/>
      <c r="AMF21"/>
      <c r="AMG21"/>
      <c r="AMH21"/>
      <c r="AMI21"/>
      <c r="AMJ21"/>
    </row>
    <row r="22" spans="1:1024" s="25" customFormat="1" x14ac:dyDescent="0.25">
      <c r="A22" s="33">
        <f>IF(COUNTBLANK(B22)=1," ",COUNTA(B$14:B22))</f>
        <v>5</v>
      </c>
      <c r="B22" s="78" t="s">
        <v>52</v>
      </c>
      <c r="C22" s="36" t="s">
        <v>65</v>
      </c>
      <c r="D22" s="33" t="s">
        <v>56</v>
      </c>
      <c r="E22" s="79">
        <v>1</v>
      </c>
      <c r="F22" s="33"/>
      <c r="G22" s="80"/>
      <c r="H22" s="80"/>
      <c r="I22" s="80"/>
      <c r="J22" s="80"/>
      <c r="K22" s="80"/>
      <c r="L22" s="80"/>
      <c r="M22" s="81"/>
      <c r="N22" s="81"/>
      <c r="O22" s="81"/>
      <c r="P22" s="81"/>
      <c r="Q22" s="81"/>
      <c r="AMD22"/>
      <c r="AME22"/>
      <c r="AMF22"/>
      <c r="AMG22"/>
      <c r="AMH22"/>
      <c r="AMI22"/>
      <c r="AMJ22"/>
    </row>
    <row r="23" spans="1:1024" s="25" customFormat="1" x14ac:dyDescent="0.25">
      <c r="A23" s="33">
        <f>IF(COUNTBLANK(B23)=1," ",COUNTA(B$14:B23))</f>
        <v>6</v>
      </c>
      <c r="B23" s="78" t="s">
        <v>52</v>
      </c>
      <c r="C23" s="84" t="s">
        <v>66</v>
      </c>
      <c r="D23" s="33" t="s">
        <v>60</v>
      </c>
      <c r="E23" s="85">
        <f>apjomi!U27*0.6</f>
        <v>63</v>
      </c>
      <c r="G23" s="86"/>
      <c r="H23" s="80"/>
      <c r="I23" s="86"/>
      <c r="J23" s="86"/>
      <c r="K23" s="86"/>
      <c r="L23" s="80"/>
      <c r="M23" s="81"/>
      <c r="N23" s="81"/>
      <c r="O23" s="81"/>
      <c r="P23" s="81"/>
      <c r="Q23" s="81"/>
      <c r="AMD23"/>
      <c r="AME23"/>
      <c r="AMF23"/>
      <c r="AMG23"/>
      <c r="AMH23"/>
      <c r="AMI23"/>
      <c r="AMJ23"/>
    </row>
    <row r="24" spans="1:1024" s="27" customFormat="1" ht="22.5" x14ac:dyDescent="0.25">
      <c r="A24" s="33">
        <f>IF(COUNTBLANK(B24)=1," ",COUNTA(B$14:B24))</f>
        <v>7</v>
      </c>
      <c r="B24" s="78" t="s">
        <v>52</v>
      </c>
      <c r="C24" s="36" t="s">
        <v>67</v>
      </c>
      <c r="D24" s="33" t="s">
        <v>54</v>
      </c>
      <c r="E24" s="79">
        <f>E14</f>
        <v>115.50000000000001</v>
      </c>
      <c r="F24" s="80">
        <v>1.05</v>
      </c>
      <c r="G24" s="80"/>
      <c r="H24" s="80"/>
      <c r="I24" s="87"/>
      <c r="J24" s="80"/>
      <c r="K24" s="80"/>
      <c r="L24" s="80"/>
      <c r="M24" s="81"/>
      <c r="N24" s="81"/>
      <c r="O24" s="81"/>
      <c r="P24" s="81"/>
      <c r="Q24" s="81"/>
    </row>
    <row r="25" spans="1:1024" s="26" customFormat="1" ht="22.5" x14ac:dyDescent="0.25">
      <c r="A25" s="33">
        <f>IF(COUNTBLANK(B25)=1," ",COUNTA(B$14:B25))</f>
        <v>8</v>
      </c>
      <c r="B25" s="78" t="s">
        <v>52</v>
      </c>
      <c r="C25" s="36" t="s">
        <v>68</v>
      </c>
      <c r="D25" s="33" t="s">
        <v>60</v>
      </c>
      <c r="E25" s="79">
        <f>E29</f>
        <v>3821.1179999999999</v>
      </c>
      <c r="F25" s="80"/>
      <c r="G25" s="80"/>
      <c r="H25" s="80"/>
      <c r="I25" s="87"/>
      <c r="J25" s="87"/>
      <c r="K25" s="80"/>
      <c r="L25" s="80"/>
      <c r="M25" s="81"/>
      <c r="N25" s="81"/>
      <c r="O25" s="81"/>
      <c r="P25" s="81"/>
      <c r="Q25" s="81"/>
    </row>
    <row r="26" spans="1:1024" s="27" customFormat="1" ht="11.25" x14ac:dyDescent="0.25">
      <c r="A26" s="33" t="str">
        <f>IF(COUNTBLANK(B26)=1," ",COUNTA(B$14:B26))</f>
        <v xml:space="preserve"> </v>
      </c>
      <c r="B26" s="33"/>
      <c r="C26" s="84" t="s">
        <v>69</v>
      </c>
      <c r="D26" s="33" t="s">
        <v>70</v>
      </c>
      <c r="E26" s="80">
        <f>E25*F26</f>
        <v>955.27949999999998</v>
      </c>
      <c r="F26" s="80">
        <v>0.25</v>
      </c>
      <c r="G26" s="80"/>
      <c r="H26" s="80"/>
      <c r="I26" s="80"/>
      <c r="J26" s="80"/>
      <c r="K26" s="80"/>
      <c r="L26" s="80"/>
      <c r="M26" s="81"/>
      <c r="N26" s="81"/>
      <c r="O26" s="81"/>
      <c r="P26" s="81"/>
      <c r="Q26" s="81"/>
    </row>
    <row r="27" spans="1:1024" s="25" customFormat="1" ht="22.5" x14ac:dyDescent="0.25">
      <c r="A27" s="33">
        <f>IF(COUNTBLANK(B27)=1," ",COUNTA(B$14:B27))</f>
        <v>9</v>
      </c>
      <c r="B27" s="78" t="s">
        <v>52</v>
      </c>
      <c r="C27" s="36" t="s">
        <v>71</v>
      </c>
      <c r="D27" s="33" t="s">
        <v>60</v>
      </c>
      <c r="E27" s="79">
        <f>E25*0.3</f>
        <v>1146.3353999999999</v>
      </c>
      <c r="F27" s="80"/>
      <c r="G27" s="80"/>
      <c r="H27" s="80"/>
      <c r="I27" s="87"/>
      <c r="J27" s="80"/>
      <c r="K27" s="80"/>
      <c r="L27" s="80"/>
      <c r="M27" s="81"/>
      <c r="N27" s="81"/>
      <c r="O27" s="81"/>
      <c r="P27" s="81"/>
      <c r="Q27" s="81"/>
      <c r="AMD27"/>
      <c r="AME27"/>
      <c r="AMF27"/>
      <c r="AMG27"/>
      <c r="AMH27"/>
      <c r="AMI27"/>
      <c r="AMJ27"/>
    </row>
    <row r="28" spans="1:1024" s="25" customFormat="1" x14ac:dyDescent="0.25">
      <c r="A28" s="33" t="str">
        <f>IF(COUNTBLANK(B28)=1," ",COUNTA(B$14:B28))</f>
        <v xml:space="preserve"> </v>
      </c>
      <c r="B28" s="78"/>
      <c r="C28" s="36" t="s">
        <v>72</v>
      </c>
      <c r="D28" s="33" t="s">
        <v>73</v>
      </c>
      <c r="E28" s="79">
        <f>E27*0.2</f>
        <v>229.26707999999999</v>
      </c>
      <c r="F28" s="80"/>
      <c r="G28" s="80"/>
      <c r="H28" s="80"/>
      <c r="I28" s="87"/>
      <c r="J28" s="80"/>
      <c r="K28" s="80"/>
      <c r="L28" s="80"/>
      <c r="M28" s="81"/>
      <c r="N28" s="81"/>
      <c r="O28" s="81"/>
      <c r="P28" s="81"/>
      <c r="Q28" s="81"/>
      <c r="AMD28"/>
      <c r="AME28"/>
      <c r="AMF28"/>
      <c r="AMG28"/>
      <c r="AMH28"/>
      <c r="AMI28"/>
      <c r="AMJ28"/>
    </row>
    <row r="29" spans="1:1024" s="26" customFormat="1" ht="33.75" x14ac:dyDescent="0.25">
      <c r="A29" s="33">
        <f>IF(COUNTBLANK(B29)=1," ",COUNTA(B$14:B29))</f>
        <v>10</v>
      </c>
      <c r="B29" s="78" t="s">
        <v>52</v>
      </c>
      <c r="C29" s="88" t="s">
        <v>74</v>
      </c>
      <c r="D29" s="85" t="s">
        <v>60</v>
      </c>
      <c r="E29" s="89">
        <f>SUM(E32:E36)/F32</f>
        <v>3821.1179999999999</v>
      </c>
      <c r="F29" s="33"/>
      <c r="G29" s="80"/>
      <c r="H29" s="80"/>
      <c r="I29" s="80"/>
      <c r="J29" s="87"/>
      <c r="K29" s="33"/>
      <c r="L29" s="80"/>
      <c r="M29" s="81"/>
      <c r="N29" s="81"/>
      <c r="O29" s="81"/>
      <c r="P29" s="81"/>
      <c r="Q29" s="81"/>
    </row>
    <row r="30" spans="1:1024" s="27" customFormat="1" ht="11.25" x14ac:dyDescent="0.25">
      <c r="A30" s="33" t="str">
        <f>IF(COUNTBLANK(B30)=1," ",COUNTA(B$14:B30))</f>
        <v xml:space="preserve"> </v>
      </c>
      <c r="B30" s="33"/>
      <c r="C30" s="84" t="s">
        <v>69</v>
      </c>
      <c r="D30" s="90" t="s">
        <v>70</v>
      </c>
      <c r="E30" s="80">
        <f>ROUNDUP(E29*F30,2)</f>
        <v>955.28</v>
      </c>
      <c r="F30" s="80">
        <v>0.25</v>
      </c>
      <c r="G30" s="80"/>
      <c r="H30" s="80"/>
      <c r="I30" s="80"/>
      <c r="J30" s="80"/>
      <c r="K30" s="80"/>
      <c r="L30" s="80"/>
      <c r="M30" s="81"/>
      <c r="N30" s="81"/>
      <c r="O30" s="81"/>
      <c r="P30" s="81"/>
      <c r="Q30" s="81"/>
    </row>
    <row r="31" spans="1:1024" s="27" customFormat="1" ht="11.25" x14ac:dyDescent="0.25">
      <c r="A31" s="33" t="str">
        <f>IF(COUNTBLANK(B31)=1," ",COUNTA(B$14:B31))</f>
        <v xml:space="preserve"> </v>
      </c>
      <c r="B31" s="33"/>
      <c r="C31" s="84" t="s">
        <v>75</v>
      </c>
      <c r="D31" s="90" t="s">
        <v>70</v>
      </c>
      <c r="E31" s="80">
        <f>ROUNDUP(E29*F31,2)</f>
        <v>19105.59</v>
      </c>
      <c r="F31" s="80">
        <v>5</v>
      </c>
      <c r="G31" s="80"/>
      <c r="H31" s="80"/>
      <c r="I31" s="80"/>
      <c r="J31" s="80"/>
      <c r="K31" s="80"/>
      <c r="L31" s="80"/>
      <c r="M31" s="81"/>
      <c r="N31" s="81"/>
      <c r="O31" s="81"/>
      <c r="P31" s="81"/>
      <c r="Q31" s="81"/>
    </row>
    <row r="32" spans="1:1024" s="25" customFormat="1" ht="41.25" x14ac:dyDescent="0.25">
      <c r="A32" s="33">
        <f>IF(COUNTBLANK(B32)=1," ",COUNTA(B$14:B32))</f>
        <v>11</v>
      </c>
      <c r="B32" s="91" t="str">
        <f>apjomi!A31</f>
        <v>S1 Vieglbetona paneļu ārējās sienas siltinājums</v>
      </c>
      <c r="C32" s="92" t="str">
        <f>apjomi!B31</f>
        <v>Apmetuma sistēma virs siltinājuma (AS-1); grunts; siltinājums - akmensvate (PAROC Linio 10 vai  ekviv.)  λ=0,036W/m²K, b=170mm; līmjava; grunts; esošā siena - vieglbetona panelis,b=250mm</v>
      </c>
      <c r="D32" s="85" t="s">
        <v>60</v>
      </c>
      <c r="E32" s="93">
        <f>apjomi!D31*F32</f>
        <v>3181.5</v>
      </c>
      <c r="F32" s="33">
        <v>1.05</v>
      </c>
      <c r="G32" s="80"/>
      <c r="H32" s="80"/>
      <c r="I32" s="33"/>
      <c r="J32" s="80"/>
      <c r="K32" s="80"/>
      <c r="L32" s="80"/>
      <c r="M32" s="81"/>
      <c r="N32" s="81"/>
      <c r="O32" s="81"/>
      <c r="P32" s="81"/>
      <c r="Q32" s="81"/>
      <c r="AMD32"/>
      <c r="AME32"/>
      <c r="AMF32"/>
      <c r="AMG32"/>
      <c r="AMH32"/>
      <c r="AMI32"/>
      <c r="AMJ32"/>
    </row>
    <row r="33" spans="1:1024" s="25" customFormat="1" ht="66" x14ac:dyDescent="0.25">
      <c r="A33" s="33">
        <f>IF(COUNTBLANK(B33)=1," ",COUNTA(B$14:B33))</f>
        <v>12</v>
      </c>
      <c r="B33" s="91" t="str">
        <f>apjomi!A37</f>
        <v>P1 Pārseguma virs caurbrauktuves siltinājums (zem dzīvojamām telpām)</v>
      </c>
      <c r="C33" s="92" t="str">
        <f>apjomi!B37</f>
        <v>Atjaunotā betona kārta,b=40mm; esošais dz-betona pārsegums, b=220mm; līmjava; siltinājums PAROC Linio 10 vai analogs, λ=0,036W/mK, b=170mm; līmjava uz stiklšķiedras sieta, b=10mm, ārējā apdare (krāsots struktūrapmetums )</v>
      </c>
      <c r="D33" s="85" t="s">
        <v>60</v>
      </c>
      <c r="E33" s="93">
        <f>apjomi!D37*F33</f>
        <v>56.7</v>
      </c>
      <c r="F33" s="33">
        <f>F32</f>
        <v>1.05</v>
      </c>
      <c r="G33" s="80"/>
      <c r="H33" s="80"/>
      <c r="I33" s="33"/>
      <c r="J33" s="80"/>
      <c r="K33" s="80"/>
      <c r="L33" s="80"/>
      <c r="M33" s="81"/>
      <c r="N33" s="81"/>
      <c r="O33" s="81"/>
      <c r="P33" s="81"/>
      <c r="Q33" s="81"/>
      <c r="AMD33"/>
      <c r="AME33"/>
      <c r="AMF33"/>
      <c r="AMG33"/>
      <c r="AMH33"/>
      <c r="AMI33"/>
      <c r="AMJ33"/>
    </row>
    <row r="34" spans="1:1024" s="25" customFormat="1" ht="58.5" x14ac:dyDescent="0.25">
      <c r="A34" s="33">
        <f>IF(COUNTBLANK(B34)=1," ",COUNTA(B$14:B34))</f>
        <v>13</v>
      </c>
      <c r="B34" s="91" t="str">
        <f>apjomi!A33</f>
        <v>S3 Lodžiju starpsienu siltinājums, lodžiju pārseguma galu siltinājums</v>
      </c>
      <c r="C34" s="92" t="str">
        <f>apjomi!B33</f>
        <v>Apmetuma sistēma virs siltinājuma (AS-2); siltinājums - akmensvate (Paroc Linio 15 vai ekvivalents) λ=0,037W/mK, b=30mm; līmjava; gruntējums; esoša vieglbetona starpsiena,b=160*mm; gruntējums; līmjava; siltinājums - akmensvate (Paroc Linio 15 vai ekvivalents) λ=0,037W/mK, b=30mm; apmetuma sistēma virs siltinājuma (AS-1)</v>
      </c>
      <c r="D34" s="85" t="str">
        <f>D32</f>
        <v>m²</v>
      </c>
      <c r="E34" s="93">
        <f>apjomi!D33*F34</f>
        <v>505.43640000000005</v>
      </c>
      <c r="F34" s="33">
        <v>1.05</v>
      </c>
      <c r="G34" s="80"/>
      <c r="H34" s="80"/>
      <c r="I34" s="33"/>
      <c r="J34" s="80"/>
      <c r="K34" s="80"/>
      <c r="L34" s="80"/>
      <c r="M34" s="81"/>
      <c r="N34" s="81"/>
      <c r="O34" s="81"/>
      <c r="P34" s="81"/>
      <c r="Q34" s="81"/>
      <c r="AMD34"/>
      <c r="AME34"/>
      <c r="AMF34"/>
      <c r="AMG34"/>
      <c r="AMH34"/>
      <c r="AMI34"/>
      <c r="AMJ34"/>
    </row>
    <row r="35" spans="1:1024" s="25" customFormat="1" ht="39" x14ac:dyDescent="0.25">
      <c r="A35" s="33">
        <f>IF(COUNTBLANK(B35)=1," ",COUNTA(B$14:B35))</f>
        <v>14</v>
      </c>
      <c r="B35" s="91" t="str">
        <f>apjomi!A34</f>
        <v>S4 Ārsienas siltinājums</v>
      </c>
      <c r="C35" s="92" t="str">
        <f>apjomi!B34</f>
        <v>Apmetuma sistēma virs siltinājuma (AS-1 vai AS-2); siltinājums - SPU materiāls (Kooltherm K5 vai ekvivalents; λ=0,021 W/mK), b=40mm; līmjava; gruntējums; esoša betona paneļu siena, b=250mm</v>
      </c>
      <c r="D35" s="85" t="str">
        <f>D34</f>
        <v>m²</v>
      </c>
      <c r="E35" s="93">
        <f>apjomi!D34*F35</f>
        <v>155.92500000000001</v>
      </c>
      <c r="F35" s="33">
        <f>F32</f>
        <v>1.05</v>
      </c>
      <c r="G35" s="80"/>
      <c r="H35" s="80"/>
      <c r="I35" s="33"/>
      <c r="J35" s="80"/>
      <c r="K35" s="80"/>
      <c r="L35" s="80"/>
      <c r="M35" s="81"/>
      <c r="N35" s="81"/>
      <c r="O35" s="81"/>
      <c r="P35" s="81"/>
      <c r="Q35" s="81"/>
      <c r="AMD35"/>
      <c r="AME35"/>
      <c r="AMF35"/>
      <c r="AMG35"/>
      <c r="AMH35"/>
      <c r="AMI35"/>
      <c r="AMJ35"/>
    </row>
    <row r="36" spans="1:1024" s="25" customFormat="1" ht="58.5" customHeight="1" x14ac:dyDescent="0.25">
      <c r="A36" s="33">
        <f>IF(COUNTBLANK(B36)=1," ",COUNTA(B$14:B36))</f>
        <v>15</v>
      </c>
      <c r="B36" s="91" t="str">
        <f>apjomi!A35</f>
        <v>S5 Sienu siltinājums (pie parapeta un kāpņu telpas izbūves uz jumta)</v>
      </c>
      <c r="C36" s="92" t="str">
        <f>apjomi!B35</f>
        <v>Apmetuma sistēma virs siltinājuma (AS-1); siltinājums - akmensvate (Paroc Linio 15  vai ekvivalents) λ=0,037W/mK, b=30mm; līmjava, gruntējums, esoša  siena,b=160*mm</v>
      </c>
      <c r="D36" s="85" t="str">
        <f>D34</f>
        <v>m²</v>
      </c>
      <c r="E36" s="93">
        <f>apjomi!D35*F36</f>
        <v>112.61250000000001</v>
      </c>
      <c r="F36" s="33">
        <v>1.05</v>
      </c>
      <c r="G36" s="80"/>
      <c r="H36" s="80"/>
      <c r="I36" s="33"/>
      <c r="J36" s="80"/>
      <c r="K36" s="80"/>
      <c r="L36" s="80"/>
      <c r="M36" s="81"/>
      <c r="N36" s="81"/>
      <c r="O36" s="81"/>
      <c r="P36" s="81"/>
      <c r="Q36" s="81"/>
      <c r="AMD36"/>
      <c r="AME36"/>
      <c r="AMF36"/>
      <c r="AMG36"/>
      <c r="AMH36"/>
      <c r="AMI36"/>
      <c r="AMJ36"/>
    </row>
    <row r="37" spans="1:1024" s="25" customFormat="1" x14ac:dyDescent="0.25">
      <c r="A37" s="33" t="str">
        <f>IF(COUNTBLANK(B37)=1," ",COUNTA(B$14:B37))</f>
        <v xml:space="preserve"> </v>
      </c>
      <c r="B37" s="33"/>
      <c r="C37" s="84" t="s">
        <v>76</v>
      </c>
      <c r="D37" s="33" t="s">
        <v>77</v>
      </c>
      <c r="E37" s="80">
        <f>(E32+E33)*F37</f>
        <v>22667.399999999998</v>
      </c>
      <c r="F37" s="80">
        <v>7</v>
      </c>
      <c r="G37" s="80"/>
      <c r="H37" s="80"/>
      <c r="I37" s="33"/>
      <c r="J37" s="80"/>
      <c r="K37" s="80"/>
      <c r="L37" s="80"/>
      <c r="M37" s="81"/>
      <c r="N37" s="81"/>
      <c r="O37" s="81"/>
      <c r="P37" s="81"/>
      <c r="Q37" s="81"/>
      <c r="AMD37"/>
      <c r="AME37"/>
      <c r="AMF37"/>
      <c r="AMG37"/>
      <c r="AMH37"/>
      <c r="AMI37"/>
      <c r="AMJ37"/>
    </row>
    <row r="38" spans="1:1024" s="25" customFormat="1" x14ac:dyDescent="0.25">
      <c r="A38" s="33" t="str">
        <f>IF(COUNTBLANK(B38)=1," ",COUNTA(B$14:B38))</f>
        <v xml:space="preserve"> </v>
      </c>
      <c r="B38" s="33"/>
      <c r="C38" s="84" t="s">
        <v>78</v>
      </c>
      <c r="D38" s="33" t="s">
        <v>77</v>
      </c>
      <c r="E38" s="80">
        <f>(E34++E35+E36)*F38</f>
        <v>4643.8433999999997</v>
      </c>
      <c r="F38" s="80">
        <v>6</v>
      </c>
      <c r="G38" s="80"/>
      <c r="H38" s="80"/>
      <c r="I38" s="33"/>
      <c r="J38" s="80"/>
      <c r="K38" s="80"/>
      <c r="L38" s="80"/>
      <c r="M38" s="81"/>
      <c r="N38" s="81"/>
      <c r="O38" s="81"/>
      <c r="P38" s="81"/>
      <c r="Q38" s="81"/>
      <c r="AMD38"/>
      <c r="AME38"/>
      <c r="AMF38"/>
      <c r="AMG38"/>
      <c r="AMH38"/>
      <c r="AMI38"/>
      <c r="AMJ38"/>
    </row>
    <row r="39" spans="1:1024" s="25" customFormat="1" ht="38.1" customHeight="1" x14ac:dyDescent="0.25">
      <c r="A39" s="33">
        <f>IF(COUNTBLANK(B39)=1," ",COUNTA(B$14:B39))</f>
        <v>16</v>
      </c>
      <c r="B39" s="78" t="s">
        <v>52</v>
      </c>
      <c r="C39" s="88" t="s">
        <v>79</v>
      </c>
      <c r="D39" s="94" t="s">
        <v>60</v>
      </c>
      <c r="E39" s="93">
        <f>apjomi!M27</f>
        <v>743.36500000000012</v>
      </c>
      <c r="F39" s="80"/>
      <c r="G39" s="80"/>
      <c r="H39" s="80"/>
      <c r="I39" s="87"/>
      <c r="J39" s="87"/>
      <c r="K39" s="80"/>
      <c r="L39" s="80"/>
      <c r="M39" s="81"/>
      <c r="N39" s="81"/>
      <c r="O39" s="81"/>
      <c r="P39" s="81"/>
      <c r="Q39" s="81"/>
      <c r="AMD39"/>
      <c r="AME39"/>
      <c r="AMF39"/>
      <c r="AMG39"/>
      <c r="AMH39"/>
      <c r="AMI39"/>
      <c r="AMJ39"/>
    </row>
    <row r="40" spans="1:1024" s="25" customFormat="1" x14ac:dyDescent="0.25">
      <c r="A40" s="33" t="str">
        <f>IF(COUNTBLANK(B40)=1," ",COUNTA(B$14:B40))</f>
        <v xml:space="preserve"> </v>
      </c>
      <c r="B40" s="33"/>
      <c r="C40" s="84" t="s">
        <v>69</v>
      </c>
      <c r="D40" s="33" t="s">
        <v>70</v>
      </c>
      <c r="E40" s="80">
        <f>E39*F40</f>
        <v>148.67300000000003</v>
      </c>
      <c r="F40" s="80">
        <v>0.2</v>
      </c>
      <c r="G40" s="80"/>
      <c r="H40" s="80"/>
      <c r="I40" s="80"/>
      <c r="J40" s="80"/>
      <c r="K40" s="80"/>
      <c r="L40" s="80"/>
      <c r="M40" s="81"/>
      <c r="N40" s="81"/>
      <c r="O40" s="81"/>
      <c r="P40" s="81"/>
      <c r="Q40" s="81"/>
      <c r="AMD40"/>
      <c r="AME40"/>
      <c r="AMF40"/>
      <c r="AMG40"/>
      <c r="AMH40"/>
      <c r="AMI40"/>
      <c r="AMJ40"/>
    </row>
    <row r="41" spans="1:1024" s="25" customFormat="1" x14ac:dyDescent="0.25">
      <c r="A41" s="33" t="str">
        <f>IF(COUNTBLANK(B41)=1," ",COUNTA(B$14:B41))</f>
        <v xml:space="preserve"> </v>
      </c>
      <c r="B41" s="33"/>
      <c r="C41" s="84" t="s">
        <v>80</v>
      </c>
      <c r="D41" s="33" t="s">
        <v>81</v>
      </c>
      <c r="E41" s="80">
        <f>E39*F41</f>
        <v>780.53325000000018</v>
      </c>
      <c r="F41" s="80">
        <v>1.05</v>
      </c>
      <c r="G41" s="80"/>
      <c r="H41" s="80"/>
      <c r="I41" s="80"/>
      <c r="J41" s="80"/>
      <c r="K41" s="80"/>
      <c r="L41" s="80"/>
      <c r="M41" s="81"/>
      <c r="N41" s="81"/>
      <c r="O41" s="81"/>
      <c r="P41" s="81"/>
      <c r="Q41" s="81"/>
      <c r="AMD41"/>
      <c r="AME41"/>
      <c r="AMF41"/>
      <c r="AMG41"/>
      <c r="AMH41"/>
      <c r="AMI41"/>
      <c r="AMJ41"/>
    </row>
    <row r="42" spans="1:1024" s="25" customFormat="1" x14ac:dyDescent="0.25">
      <c r="A42" s="33" t="str">
        <f>IF(COUNTBLANK(B42)=1," ",COUNTA(B$14:B42))</f>
        <v xml:space="preserve"> </v>
      </c>
      <c r="B42" s="33"/>
      <c r="C42" s="84" t="s">
        <v>82</v>
      </c>
      <c r="D42" s="33" t="s">
        <v>70</v>
      </c>
      <c r="E42" s="80">
        <f>E39*F42</f>
        <v>3345.1425000000004</v>
      </c>
      <c r="F42" s="80">
        <v>4.5</v>
      </c>
      <c r="G42" s="80"/>
      <c r="H42" s="80"/>
      <c r="I42" s="80"/>
      <c r="J42" s="80"/>
      <c r="K42" s="80"/>
      <c r="L42" s="80"/>
      <c r="M42" s="81"/>
      <c r="N42" s="81"/>
      <c r="O42" s="81"/>
      <c r="P42" s="81"/>
      <c r="Q42" s="81"/>
      <c r="AMD42"/>
      <c r="AME42"/>
      <c r="AMF42"/>
      <c r="AMG42"/>
      <c r="AMH42"/>
      <c r="AMI42"/>
      <c r="AMJ42"/>
    </row>
    <row r="43" spans="1:1024" s="25" customFormat="1" x14ac:dyDescent="0.25">
      <c r="A43" s="33" t="str">
        <f>IF(COUNTBLANK(B43)=1," ",COUNTA(B$14:B43))</f>
        <v xml:space="preserve"> </v>
      </c>
      <c r="B43" s="33"/>
      <c r="C43" s="84" t="s">
        <v>83</v>
      </c>
      <c r="D43" s="33" t="s">
        <v>77</v>
      </c>
      <c r="E43" s="80">
        <f>E39*F43</f>
        <v>3716.8250000000007</v>
      </c>
      <c r="F43" s="80">
        <v>5</v>
      </c>
      <c r="G43" s="80"/>
      <c r="H43" s="80"/>
      <c r="I43" s="80"/>
      <c r="J43" s="80"/>
      <c r="K43" s="80"/>
      <c r="L43" s="80"/>
      <c r="M43" s="81"/>
      <c r="N43" s="81"/>
      <c r="O43" s="81"/>
      <c r="P43" s="81"/>
      <c r="Q43" s="81"/>
      <c r="AMD43"/>
      <c r="AME43"/>
      <c r="AMF43"/>
      <c r="AMG43"/>
      <c r="AMH43"/>
      <c r="AMI43"/>
      <c r="AMJ43"/>
    </row>
    <row r="44" spans="1:1024" s="25" customFormat="1" x14ac:dyDescent="0.25">
      <c r="A44" s="33" t="str">
        <f>IF(COUNTBLANK(B44)=1," ",COUNTA(B$14:B44))</f>
        <v xml:space="preserve"> </v>
      </c>
      <c r="B44" s="33"/>
      <c r="C44" s="84" t="s">
        <v>84</v>
      </c>
      <c r="D44" s="33" t="s">
        <v>70</v>
      </c>
      <c r="E44" s="80">
        <f>E39*F44</f>
        <v>2973.4600000000005</v>
      </c>
      <c r="F44" s="80">
        <v>4</v>
      </c>
      <c r="G44" s="80"/>
      <c r="H44" s="80"/>
      <c r="I44" s="80"/>
      <c r="J44" s="80"/>
      <c r="K44" s="80"/>
      <c r="L44" s="80"/>
      <c r="M44" s="81"/>
      <c r="N44" s="81"/>
      <c r="O44" s="81"/>
      <c r="P44" s="81"/>
      <c r="Q44" s="81"/>
      <c r="AMD44"/>
      <c r="AME44"/>
      <c r="AMF44"/>
      <c r="AMG44"/>
      <c r="AMH44"/>
      <c r="AMI44"/>
      <c r="AMJ44"/>
    </row>
    <row r="45" spans="1:1024" s="25" customFormat="1" x14ac:dyDescent="0.25">
      <c r="A45" s="33" t="str">
        <f>IF(COUNTBLANK(B45)=1," ",COUNTA(B$14:B45))</f>
        <v xml:space="preserve"> </v>
      </c>
      <c r="B45" s="33"/>
      <c r="C45" s="84" t="s">
        <v>85</v>
      </c>
      <c r="D45" s="33" t="s">
        <v>81</v>
      </c>
      <c r="E45" s="80">
        <f>E39*F45</f>
        <v>780.53325000000018</v>
      </c>
      <c r="F45" s="80">
        <v>1.05</v>
      </c>
      <c r="G45" s="80"/>
      <c r="H45" s="80"/>
      <c r="I45" s="80"/>
      <c r="J45" s="80"/>
      <c r="K45" s="80"/>
      <c r="L45" s="80"/>
      <c r="M45" s="81"/>
      <c r="N45" s="81"/>
      <c r="O45" s="81"/>
      <c r="P45" s="81"/>
      <c r="Q45" s="81"/>
      <c r="AMD45"/>
      <c r="AME45"/>
      <c r="AMF45"/>
      <c r="AMG45"/>
      <c r="AMH45"/>
      <c r="AMI45"/>
      <c r="AMJ45"/>
    </row>
    <row r="46" spans="1:1024" s="25" customFormat="1" ht="22.5" x14ac:dyDescent="0.25">
      <c r="A46" s="33">
        <f>IF(COUNTBLANK(B46)=1," ",COUNTA(B$14:B46))</f>
        <v>17</v>
      </c>
      <c r="B46" s="78" t="s">
        <v>52</v>
      </c>
      <c r="C46" s="84" t="s">
        <v>86</v>
      </c>
      <c r="D46" s="94" t="s">
        <v>60</v>
      </c>
      <c r="E46" s="93">
        <f>0.5*0.5*apjomi!E27*4</f>
        <v>604</v>
      </c>
      <c r="F46" s="80"/>
      <c r="G46" s="80"/>
      <c r="H46" s="80"/>
      <c r="I46" s="87"/>
      <c r="J46" s="87"/>
      <c r="K46" s="80"/>
      <c r="L46" s="80"/>
      <c r="M46" s="81"/>
      <c r="N46" s="81"/>
      <c r="O46" s="81"/>
      <c r="P46" s="81"/>
      <c r="Q46" s="81"/>
      <c r="AMD46"/>
      <c r="AME46"/>
      <c r="AMF46"/>
      <c r="AMG46"/>
      <c r="AMH46"/>
      <c r="AMI46"/>
      <c r="AMJ46"/>
    </row>
    <row r="47" spans="1:1024" s="25" customFormat="1" x14ac:dyDescent="0.25">
      <c r="A47" s="33" t="str">
        <f>IF(COUNTBLANK(B47)=1," ",COUNTA(B$14:B47))</f>
        <v xml:space="preserve"> </v>
      </c>
      <c r="B47" s="33"/>
      <c r="C47" s="84" t="s">
        <v>84</v>
      </c>
      <c r="D47" s="33" t="s">
        <v>70</v>
      </c>
      <c r="E47" s="80">
        <f>E46*F47</f>
        <v>579.84</v>
      </c>
      <c r="F47" s="80">
        <v>0.96</v>
      </c>
      <c r="G47" s="80"/>
      <c r="H47" s="80"/>
      <c r="I47" s="80"/>
      <c r="J47" s="80"/>
      <c r="K47" s="80"/>
      <c r="L47" s="80"/>
      <c r="M47" s="81"/>
      <c r="N47" s="81"/>
      <c r="O47" s="81"/>
      <c r="P47" s="81"/>
      <c r="Q47" s="81"/>
      <c r="AMD47"/>
      <c r="AME47"/>
      <c r="AMF47"/>
      <c r="AMG47"/>
      <c r="AMH47"/>
      <c r="AMI47"/>
      <c r="AMJ47"/>
    </row>
    <row r="48" spans="1:1024" s="25" customFormat="1" x14ac:dyDescent="0.25">
      <c r="A48" s="33" t="str">
        <f>IF(COUNTBLANK(B48)=1," ",COUNTA(B$14:B48))</f>
        <v xml:space="preserve"> </v>
      </c>
      <c r="B48" s="33"/>
      <c r="C48" s="84" t="s">
        <v>85</v>
      </c>
      <c r="D48" s="33" t="s">
        <v>81</v>
      </c>
      <c r="E48" s="80">
        <f>E46*F48</f>
        <v>604</v>
      </c>
      <c r="F48" s="80">
        <v>1</v>
      </c>
      <c r="G48" s="80"/>
      <c r="H48" s="80"/>
      <c r="I48" s="80"/>
      <c r="J48" s="80"/>
      <c r="K48" s="80"/>
      <c r="L48" s="80"/>
      <c r="M48" s="81"/>
      <c r="N48" s="81"/>
      <c r="O48" s="81"/>
      <c r="P48" s="81"/>
      <c r="Q48" s="81"/>
      <c r="AMD48"/>
      <c r="AME48"/>
      <c r="AMF48"/>
      <c r="AMG48"/>
      <c r="AMH48"/>
      <c r="AMI48"/>
      <c r="AMJ48"/>
    </row>
    <row r="49" spans="1:1024" s="25" customFormat="1" ht="55.9" customHeight="1" x14ac:dyDescent="0.25">
      <c r="A49" s="33">
        <f>IF(COUNTBLANK(B49)=1," ",COUNTA(B$14:B49))</f>
        <v>18</v>
      </c>
      <c r="B49" s="78" t="s">
        <v>52</v>
      </c>
      <c r="C49" s="84" t="s">
        <v>87</v>
      </c>
      <c r="D49" s="33" t="s">
        <v>81</v>
      </c>
      <c r="E49" s="79">
        <f>0.3*0.5*apjomi!E27</f>
        <v>90.6</v>
      </c>
      <c r="F49" s="95"/>
      <c r="G49" s="80"/>
      <c r="H49" s="80"/>
      <c r="I49" s="80"/>
      <c r="J49" s="87"/>
      <c r="K49" s="80"/>
      <c r="L49" s="80"/>
      <c r="M49" s="81"/>
      <c r="N49" s="81"/>
      <c r="O49" s="81"/>
      <c r="P49" s="81"/>
      <c r="Q49" s="81"/>
      <c r="AMD49"/>
      <c r="AME49"/>
      <c r="AMF49"/>
      <c r="AMG49"/>
      <c r="AMH49"/>
      <c r="AMI49"/>
      <c r="AMJ49"/>
    </row>
    <row r="50" spans="1:1024" s="25" customFormat="1" x14ac:dyDescent="0.25">
      <c r="A50" s="33" t="str">
        <f>IF(COUNTBLANK(B50)=1," ",COUNTA(B$14:B50))</f>
        <v xml:space="preserve"> </v>
      </c>
      <c r="B50" s="33"/>
      <c r="C50" s="84" t="s">
        <v>84</v>
      </c>
      <c r="D50" s="33" t="s">
        <v>70</v>
      </c>
      <c r="E50" s="80">
        <f>E49*F50</f>
        <v>86.975999999999985</v>
      </c>
      <c r="F50" s="80">
        <v>0.96</v>
      </c>
      <c r="G50" s="80"/>
      <c r="H50" s="80"/>
      <c r="I50" s="80"/>
      <c r="J50" s="80"/>
      <c r="K50" s="80"/>
      <c r="L50" s="80"/>
      <c r="M50" s="81"/>
      <c r="N50" s="81"/>
      <c r="O50" s="81"/>
      <c r="P50" s="81"/>
      <c r="Q50" s="81"/>
      <c r="AMD50"/>
      <c r="AME50"/>
      <c r="AMF50"/>
      <c r="AMG50"/>
      <c r="AMH50"/>
      <c r="AMI50"/>
      <c r="AMJ50"/>
    </row>
    <row r="51" spans="1:1024" s="25" customFormat="1" x14ac:dyDescent="0.25">
      <c r="A51" s="33" t="str">
        <f>IF(COUNTBLANK(B51)=1," ",COUNTA(B$14:B51))</f>
        <v xml:space="preserve"> </v>
      </c>
      <c r="B51" s="33"/>
      <c r="C51" s="84" t="s">
        <v>85</v>
      </c>
      <c r="D51" s="33" t="s">
        <v>81</v>
      </c>
      <c r="E51" s="80">
        <f>ROUNDUP(E49*F51,0)</f>
        <v>14</v>
      </c>
      <c r="F51" s="80">
        <v>0.15</v>
      </c>
      <c r="G51" s="80"/>
      <c r="H51" s="80"/>
      <c r="I51" s="80"/>
      <c r="J51" s="80"/>
      <c r="K51" s="80"/>
      <c r="L51" s="80"/>
      <c r="M51" s="81"/>
      <c r="N51" s="81"/>
      <c r="O51" s="81"/>
      <c r="P51" s="81"/>
      <c r="Q51" s="81"/>
      <c r="AMD51"/>
      <c r="AME51"/>
      <c r="AMF51"/>
      <c r="AMG51"/>
      <c r="AMH51"/>
      <c r="AMI51"/>
      <c r="AMJ51"/>
    </row>
    <row r="52" spans="1:1024" s="25" customFormat="1" ht="22.5" x14ac:dyDescent="0.25">
      <c r="A52" s="33">
        <f>IF(COUNTBLANK(B52)=1," ",COUNTA(B$14:B52))</f>
        <v>19</v>
      </c>
      <c r="B52" s="78" t="s">
        <v>52</v>
      </c>
      <c r="C52" s="84" t="s">
        <v>88</v>
      </c>
      <c r="D52" s="33" t="s">
        <v>54</v>
      </c>
      <c r="E52" s="79">
        <f>apjomi!P27</f>
        <v>697.03199999999993</v>
      </c>
      <c r="F52" s="33"/>
      <c r="G52" s="80"/>
      <c r="H52" s="80"/>
      <c r="I52" s="80"/>
      <c r="J52" s="80"/>
      <c r="K52" s="80"/>
      <c r="L52" s="80"/>
      <c r="M52" s="81"/>
      <c r="N52" s="81"/>
      <c r="O52" s="81"/>
      <c r="P52" s="81"/>
      <c r="Q52" s="81"/>
      <c r="AMD52"/>
      <c r="AME52"/>
      <c r="AMF52"/>
      <c r="AMG52"/>
      <c r="AMH52"/>
      <c r="AMI52"/>
      <c r="AMJ52"/>
    </row>
    <row r="53" spans="1:1024" s="25" customFormat="1" ht="66.400000000000006" customHeight="1" x14ac:dyDescent="0.25">
      <c r="A53" s="33">
        <f>IF(COUNTBLANK(B53)=1," ",COUNTA(B$14:B53))</f>
        <v>20</v>
      </c>
      <c r="B53" s="78" t="s">
        <v>52</v>
      </c>
      <c r="C53" s="84" t="s">
        <v>89</v>
      </c>
      <c r="D53" s="33" t="s">
        <v>60</v>
      </c>
      <c r="E53" s="80">
        <f>E29+E39</f>
        <v>4564.4830000000002</v>
      </c>
      <c r="F53" s="80"/>
      <c r="G53" s="80"/>
      <c r="H53" s="80"/>
      <c r="I53" s="87"/>
      <c r="J53" s="87"/>
      <c r="K53" s="80"/>
      <c r="L53" s="80"/>
      <c r="M53" s="81"/>
      <c r="N53" s="81"/>
      <c r="O53" s="81"/>
      <c r="P53" s="81"/>
      <c r="Q53" s="81"/>
      <c r="AMD53"/>
      <c r="AME53"/>
      <c r="AMF53"/>
      <c r="AMG53"/>
      <c r="AMH53"/>
      <c r="AMI53"/>
      <c r="AMJ53"/>
    </row>
    <row r="54" spans="1:1024" s="25" customFormat="1" x14ac:dyDescent="0.25">
      <c r="A54" s="33" t="str">
        <f>IF(COUNTBLANK(B54)=1," ",COUNTA(B$14:B54))</f>
        <v xml:space="preserve"> </v>
      </c>
      <c r="B54" s="33"/>
      <c r="C54" s="84" t="s">
        <v>90</v>
      </c>
      <c r="D54" s="90" t="s">
        <v>70</v>
      </c>
      <c r="E54" s="80">
        <f>ROUNDUP(E53*F54,2)</f>
        <v>1369.35</v>
      </c>
      <c r="F54" s="80">
        <v>0.3</v>
      </c>
      <c r="G54" s="80"/>
      <c r="H54" s="80"/>
      <c r="I54" s="80"/>
      <c r="J54" s="80"/>
      <c r="K54" s="80"/>
      <c r="L54" s="80"/>
      <c r="M54" s="81"/>
      <c r="N54" s="81"/>
      <c r="O54" s="81"/>
      <c r="P54" s="81"/>
      <c r="Q54" s="81"/>
      <c r="AMD54"/>
      <c r="AME54"/>
      <c r="AMF54"/>
      <c r="AMG54"/>
      <c r="AMH54"/>
      <c r="AMI54"/>
      <c r="AMJ54"/>
    </row>
    <row r="55" spans="1:1024" s="25" customFormat="1" ht="22.5" x14ac:dyDescent="0.25">
      <c r="A55" s="33" t="str">
        <f>IF(COUNTBLANK(B55)=1," ",COUNTA(B$14:B55))</f>
        <v xml:space="preserve"> </v>
      </c>
      <c r="B55" s="33"/>
      <c r="C55" s="84" t="s">
        <v>91</v>
      </c>
      <c r="D55" s="90" t="s">
        <v>70</v>
      </c>
      <c r="E55" s="80">
        <f>ROUNDUP(E53*F55,2)</f>
        <v>16888.59</v>
      </c>
      <c r="F55" s="80">
        <v>3.7</v>
      </c>
      <c r="G55" s="80"/>
      <c r="H55" s="80"/>
      <c r="I55" s="80"/>
      <c r="J55" s="80"/>
      <c r="K55" s="80"/>
      <c r="L55" s="80"/>
      <c r="M55" s="81"/>
      <c r="N55" s="81"/>
      <c r="O55" s="81"/>
      <c r="P55" s="81"/>
      <c r="Q55" s="81"/>
      <c r="AMD55"/>
      <c r="AME55"/>
      <c r="AMF55"/>
      <c r="AMG55"/>
      <c r="AMH55"/>
      <c r="AMI55"/>
      <c r="AMJ55"/>
    </row>
    <row r="56" spans="1:1024" s="25" customFormat="1" x14ac:dyDescent="0.25">
      <c r="A56" s="33" t="str">
        <f>IF(COUNTBLANK(B56)=1," ",COUNTA(B$14:B56))</f>
        <v xml:space="preserve"> </v>
      </c>
      <c r="B56" s="33"/>
      <c r="C56" s="84" t="s">
        <v>92</v>
      </c>
      <c r="D56" s="90" t="s">
        <v>93</v>
      </c>
      <c r="E56" s="80">
        <f>ROUNDUP(E53*F56,0)</f>
        <v>411</v>
      </c>
      <c r="F56" s="80">
        <v>0.09</v>
      </c>
      <c r="G56" s="80"/>
      <c r="H56" s="80"/>
      <c r="I56" s="80"/>
      <c r="J56" s="80"/>
      <c r="K56" s="80"/>
      <c r="L56" s="80"/>
      <c r="M56" s="81"/>
      <c r="N56" s="81"/>
      <c r="O56" s="81"/>
      <c r="P56" s="81"/>
      <c r="Q56" s="81"/>
      <c r="AMD56"/>
      <c r="AME56"/>
      <c r="AMF56"/>
      <c r="AMG56"/>
      <c r="AMH56"/>
      <c r="AMI56"/>
      <c r="AMJ56"/>
    </row>
    <row r="57" spans="1:1024" s="25" customFormat="1" ht="22.5" x14ac:dyDescent="0.25">
      <c r="A57" s="33"/>
      <c r="B57" s="78"/>
      <c r="C57" s="88" t="s">
        <v>94</v>
      </c>
      <c r="D57" s="33"/>
      <c r="E57" s="79"/>
      <c r="F57" s="33"/>
      <c r="G57" s="80"/>
      <c r="H57" s="80"/>
      <c r="I57" s="80"/>
      <c r="J57" s="80"/>
      <c r="K57" s="80"/>
      <c r="L57" s="80"/>
      <c r="M57" s="81"/>
      <c r="N57" s="81"/>
      <c r="O57" s="81"/>
      <c r="P57" s="81"/>
      <c r="Q57" s="81"/>
      <c r="AMD57"/>
      <c r="AME57"/>
      <c r="AMF57"/>
      <c r="AMG57"/>
      <c r="AMH57"/>
      <c r="AMI57"/>
      <c r="AMJ57"/>
    </row>
    <row r="58" spans="1:1024" s="25" customFormat="1" x14ac:dyDescent="0.25">
      <c r="A58" s="33">
        <f>IF(COUNTBLANK(B58)=1," ",COUNTA(B$14:B58))</f>
        <v>21</v>
      </c>
      <c r="B58" s="78" t="s">
        <v>52</v>
      </c>
      <c r="C58" s="84" t="str">
        <f>apjomi!Q2</f>
        <v>Stūra profils  EC S</v>
      </c>
      <c r="D58" s="33" t="s">
        <v>54</v>
      </c>
      <c r="E58" s="79">
        <f>apjomi!Q27</f>
        <v>2161.54</v>
      </c>
      <c r="F58" s="33"/>
      <c r="G58" s="80"/>
      <c r="H58" s="80"/>
      <c r="I58" s="80"/>
      <c r="J58" s="80"/>
      <c r="K58" s="80"/>
      <c r="L58" s="80"/>
      <c r="M58" s="81"/>
      <c r="N58" s="81"/>
      <c r="O58" s="81"/>
      <c r="P58" s="81"/>
      <c r="Q58" s="81"/>
      <c r="AMD58"/>
      <c r="AME58"/>
      <c r="AMF58"/>
      <c r="AMG58"/>
      <c r="AMH58"/>
      <c r="AMI58"/>
      <c r="AMJ58"/>
    </row>
    <row r="59" spans="1:1024" s="25" customFormat="1" x14ac:dyDescent="0.25">
      <c r="A59" s="33">
        <f>IF(COUNTBLANK(B59)=1," ",COUNTA(B$14:B59))</f>
        <v>22</v>
      </c>
      <c r="B59" s="78" t="s">
        <v>52</v>
      </c>
      <c r="C59" s="84" t="str">
        <f>apjomi!R2</f>
        <v>Loga pielaiduma profils EW</v>
      </c>
      <c r="D59" s="33" t="s">
        <v>54</v>
      </c>
      <c r="E59" s="79">
        <f>apjomi!R27</f>
        <v>2161.54</v>
      </c>
      <c r="F59" s="33"/>
      <c r="G59" s="80"/>
      <c r="H59" s="80"/>
      <c r="I59" s="80"/>
      <c r="J59" s="80"/>
      <c r="K59" s="80"/>
      <c r="L59" s="80"/>
      <c r="M59" s="81"/>
      <c r="N59" s="81"/>
      <c r="O59" s="81"/>
      <c r="P59" s="81"/>
      <c r="Q59" s="81"/>
      <c r="AMD59"/>
      <c r="AME59"/>
      <c r="AMF59"/>
      <c r="AMG59"/>
      <c r="AMH59"/>
      <c r="AMI59"/>
      <c r="AMJ59"/>
    </row>
    <row r="60" spans="1:1024" s="25" customFormat="1" x14ac:dyDescent="0.25">
      <c r="A60" s="33">
        <f>IF(COUNTBLANK(B60)=1," ",COUNTA(B$14:B60))</f>
        <v>23</v>
      </c>
      <c r="B60" s="78" t="s">
        <v>52</v>
      </c>
      <c r="C60" s="84" t="str">
        <f>apjomi!S2</f>
        <v>Stūra lāsenis ED CO2</v>
      </c>
      <c r="D60" s="33" t="s">
        <v>54</v>
      </c>
      <c r="E60" s="79">
        <f>apjomi!S27</f>
        <v>811.92000000000007</v>
      </c>
      <c r="F60" s="33"/>
      <c r="G60" s="80"/>
      <c r="H60" s="80"/>
      <c r="I60" s="80"/>
      <c r="J60" s="80"/>
      <c r="K60" s="80"/>
      <c r="L60" s="80"/>
      <c r="M60" s="81"/>
      <c r="N60" s="81"/>
      <c r="O60" s="81"/>
      <c r="P60" s="81"/>
      <c r="Q60" s="81"/>
      <c r="AMD60"/>
      <c r="AME60"/>
      <c r="AMF60"/>
      <c r="AMG60"/>
      <c r="AMH60"/>
      <c r="AMI60"/>
      <c r="AMJ60"/>
    </row>
    <row r="61" spans="1:1024" s="25" customFormat="1" x14ac:dyDescent="0.25">
      <c r="A61" s="33">
        <f>IF(COUNTBLANK(B61)=1," ",COUNTA(B$14:B61))</f>
        <v>24</v>
      </c>
      <c r="B61" s="78" t="s">
        <v>52</v>
      </c>
      <c r="C61" s="84" t="str">
        <f>apjomi!T2</f>
        <v>Palodzes montāžas profils EW US01</v>
      </c>
      <c r="D61" s="33" t="s">
        <v>54</v>
      </c>
      <c r="E61" s="79">
        <f>apjomi!T27</f>
        <v>811.92000000000007</v>
      </c>
      <c r="F61" s="33"/>
      <c r="G61" s="80"/>
      <c r="H61" s="80"/>
      <c r="I61" s="80"/>
      <c r="J61" s="80"/>
      <c r="K61" s="80"/>
      <c r="L61" s="80"/>
      <c r="M61" s="81"/>
      <c r="N61" s="81"/>
      <c r="O61" s="81"/>
      <c r="P61" s="81"/>
      <c r="Q61" s="81"/>
      <c r="AMD61"/>
      <c r="AME61"/>
      <c r="AMF61"/>
      <c r="AMG61"/>
      <c r="AMH61"/>
      <c r="AMI61"/>
      <c r="AMJ61"/>
    </row>
    <row r="62" spans="1:1024" s="25" customFormat="1" x14ac:dyDescent="0.25">
      <c r="A62" s="33">
        <f>IF(COUNTBLANK(B62)=1," ",COUNTA(B$14:B62))</f>
        <v>25</v>
      </c>
      <c r="B62" s="78" t="s">
        <v>52</v>
      </c>
      <c r="C62" s="96" t="str">
        <f>apjomi!U2</f>
        <v>Cokola profils EB PVC VARIO 220</v>
      </c>
      <c r="D62" s="33" t="s">
        <v>54</v>
      </c>
      <c r="E62" s="80">
        <f>apjomi!U27</f>
        <v>105</v>
      </c>
      <c r="F62" s="33"/>
      <c r="G62" s="80"/>
      <c r="H62" s="80"/>
      <c r="I62" s="80"/>
      <c r="J62" s="80"/>
      <c r="K62" s="80"/>
      <c r="L62" s="80"/>
      <c r="M62" s="81"/>
      <c r="N62" s="81"/>
      <c r="O62" s="81"/>
      <c r="P62" s="81"/>
      <c r="Q62" s="81"/>
      <c r="AMD62"/>
      <c r="AME62"/>
      <c r="AMF62"/>
      <c r="AMG62"/>
      <c r="AMH62"/>
      <c r="AMI62"/>
      <c r="AMJ62"/>
    </row>
    <row r="63" spans="1:1024" s="97" customFormat="1" ht="11.25" x14ac:dyDescent="0.25">
      <c r="A63" s="33">
        <f>IF(COUNTBLANK(B63)=1," ",COUNTA(B$14:B63))</f>
        <v>26</v>
      </c>
      <c r="B63" s="78" t="s">
        <v>52</v>
      </c>
      <c r="C63" s="84" t="s">
        <v>95</v>
      </c>
      <c r="D63" s="85" t="s">
        <v>54</v>
      </c>
      <c r="E63" s="79">
        <f>120*17</f>
        <v>2040</v>
      </c>
      <c r="F63" s="80"/>
      <c r="G63" s="80"/>
      <c r="H63" s="80"/>
      <c r="I63" s="80"/>
      <c r="J63" s="80"/>
      <c r="K63" s="80"/>
      <c r="L63" s="80"/>
      <c r="M63" s="81"/>
      <c r="N63" s="81"/>
      <c r="O63" s="81"/>
      <c r="P63" s="81"/>
      <c r="Q63" s="81"/>
    </row>
    <row r="64" spans="1:1024" s="25" customFormat="1" ht="22.5" x14ac:dyDescent="0.25">
      <c r="A64" s="33">
        <f>IF(COUNTBLANK(B64)=1," ",COUNTA(B$14:B64))</f>
        <v>27</v>
      </c>
      <c r="B64" s="78" t="s">
        <v>52</v>
      </c>
      <c r="C64" s="84" t="s">
        <v>96</v>
      </c>
      <c r="D64" s="85" t="s">
        <v>54</v>
      </c>
      <c r="E64" s="79">
        <f>E63</f>
        <v>2040</v>
      </c>
      <c r="F64" s="80"/>
      <c r="G64" s="80"/>
      <c r="H64" s="80"/>
      <c r="I64" s="80"/>
      <c r="J64" s="80"/>
      <c r="K64" s="80"/>
      <c r="L64" s="80"/>
      <c r="M64" s="81"/>
      <c r="N64" s="81"/>
      <c r="O64" s="81"/>
      <c r="P64" s="81"/>
      <c r="Q64" s="81"/>
      <c r="AMD64"/>
      <c r="AME64"/>
      <c r="AMF64"/>
      <c r="AMG64"/>
      <c r="AMH64"/>
      <c r="AMI64"/>
      <c r="AMJ64"/>
    </row>
    <row r="65" spans="1:1024" s="31" customFormat="1" ht="11.25" x14ac:dyDescent="0.25">
      <c r="A65" s="33">
        <f>IF(COUNTBLANK(B65)=1," ",COUNTA(B$14:B65))</f>
        <v>28</v>
      </c>
      <c r="B65" s="78" t="s">
        <v>52</v>
      </c>
      <c r="C65" s="84" t="s">
        <v>97</v>
      </c>
      <c r="D65" s="80" t="s">
        <v>77</v>
      </c>
      <c r="E65" s="82">
        <v>1</v>
      </c>
      <c r="F65" s="33"/>
      <c r="G65" s="80"/>
      <c r="H65" s="80"/>
      <c r="I65" s="87"/>
      <c r="J65" s="80"/>
      <c r="K65" s="80"/>
      <c r="L65" s="80"/>
      <c r="M65" s="81"/>
      <c r="N65" s="81"/>
      <c r="O65" s="81"/>
      <c r="P65" s="81"/>
      <c r="Q65" s="81"/>
    </row>
    <row r="66" spans="1:1024" s="42" customFormat="1" ht="11.25" x14ac:dyDescent="0.25">
      <c r="A66" s="33">
        <f>IF(COUNTBLANK(B66)=1," ",COUNTA(B$14:B66))</f>
        <v>29</v>
      </c>
      <c r="B66" s="78" t="s">
        <v>52</v>
      </c>
      <c r="C66" s="34" t="s">
        <v>98</v>
      </c>
      <c r="D66" s="98" t="s">
        <v>99</v>
      </c>
      <c r="E66" s="87">
        <v>60</v>
      </c>
      <c r="F66" s="87"/>
      <c r="G66" s="87"/>
      <c r="H66" s="80"/>
      <c r="I66" s="99"/>
      <c r="J66" s="98"/>
      <c r="K66" s="87"/>
      <c r="L66" s="80"/>
      <c r="M66" s="81"/>
      <c r="N66" s="81"/>
      <c r="O66" s="81"/>
      <c r="P66" s="81"/>
      <c r="Q66" s="81"/>
    </row>
    <row r="67" spans="1:1024" s="25" customFormat="1" x14ac:dyDescent="0.25">
      <c r="A67" s="33" t="str">
        <f>IF(COUNTBLANK(B67)=1," ",COUNTA(B$14:B67))</f>
        <v xml:space="preserve"> </v>
      </c>
      <c r="B67" s="78"/>
      <c r="C67" s="34" t="s">
        <v>100</v>
      </c>
      <c r="D67" s="98" t="s">
        <v>56</v>
      </c>
      <c r="E67" s="80">
        <f>E66*F67</f>
        <v>9</v>
      </c>
      <c r="F67" s="87">
        <v>0.15</v>
      </c>
      <c r="G67" s="87"/>
      <c r="H67" s="80"/>
      <c r="I67" s="99"/>
      <c r="J67" s="98"/>
      <c r="K67" s="87"/>
      <c r="L67" s="80"/>
      <c r="M67" s="81"/>
      <c r="N67" s="81"/>
      <c r="O67" s="81"/>
      <c r="P67" s="81"/>
      <c r="Q67" s="81"/>
      <c r="AMD67"/>
      <c r="AME67"/>
      <c r="AMF67"/>
      <c r="AMG67"/>
      <c r="AMH67"/>
      <c r="AMI67"/>
      <c r="AMJ67"/>
    </row>
    <row r="68" spans="1:1024" s="27" customFormat="1" ht="11.25" x14ac:dyDescent="0.25">
      <c r="A68" s="37"/>
      <c r="B68" s="37"/>
      <c r="C68" s="38"/>
      <c r="D68" s="37"/>
      <c r="E68" s="100"/>
      <c r="F68" s="100"/>
      <c r="G68" s="100"/>
      <c r="H68" s="100"/>
      <c r="I68" s="100"/>
      <c r="J68" s="100"/>
      <c r="K68" s="100"/>
      <c r="L68" s="100"/>
      <c r="M68" s="100"/>
      <c r="N68" s="100"/>
      <c r="O68" s="100"/>
      <c r="P68" s="100"/>
      <c r="Q68" s="100"/>
    </row>
    <row r="69" spans="1:1024" s="25" customFormat="1" x14ac:dyDescent="0.25">
      <c r="A69" s="37"/>
      <c r="B69" s="37"/>
      <c r="C69" s="101" t="s">
        <v>101</v>
      </c>
      <c r="D69" s="101"/>
      <c r="E69" s="101"/>
      <c r="F69" s="101"/>
      <c r="G69" s="101"/>
      <c r="H69" s="101"/>
      <c r="I69" s="101"/>
      <c r="J69" s="101"/>
      <c r="K69" s="101"/>
      <c r="L69" s="102"/>
      <c r="M69" s="102">
        <f>SUMIF($Q14:$Q67,"&gt;0",M14:M67)</f>
        <v>0</v>
      </c>
      <c r="N69" s="102">
        <f>SUMIF($Q14:$Q67,"&gt;0",N14:N67)</f>
        <v>0</v>
      </c>
      <c r="O69" s="102">
        <f>SUMIF($Q14:$Q67,"&gt;0",O14:O67)</f>
        <v>0</v>
      </c>
      <c r="P69" s="102">
        <f>SUMIF($Q14:$Q67,"&gt;0",P14:P67)</f>
        <v>0</v>
      </c>
      <c r="Q69" s="102">
        <f>SUMIF($Q14:$Q67,"&gt;0",Q14:Q67)</f>
        <v>0</v>
      </c>
      <c r="AMD69"/>
      <c r="AME69"/>
      <c r="AMF69"/>
      <c r="AMG69"/>
      <c r="AMH69"/>
      <c r="AMI69"/>
      <c r="AMJ69"/>
    </row>
    <row r="70" spans="1:1024" s="52" customFormat="1" ht="11.25" x14ac:dyDescent="0.25">
      <c r="A70" s="37" t="str">
        <f>IF(COUNTBLANK(I70)=1," ",COUNTA($I$24:I70))</f>
        <v xml:space="preserve"> </v>
      </c>
      <c r="B70" s="37"/>
      <c r="C70" s="101" t="s">
        <v>102</v>
      </c>
      <c r="D70" s="101"/>
      <c r="E70" s="19"/>
      <c r="F70" s="101"/>
      <c r="G70" s="103">
        <v>0</v>
      </c>
      <c r="H70" s="101"/>
      <c r="I70" s="101"/>
      <c r="J70" s="101"/>
      <c r="K70" s="101"/>
      <c r="L70" s="101"/>
      <c r="M70" s="102"/>
      <c r="N70" s="102"/>
      <c r="O70" s="102">
        <f>O69*G70</f>
        <v>0</v>
      </c>
      <c r="P70" s="102"/>
      <c r="Q70" s="102"/>
    </row>
    <row r="71" spans="1:1024" s="25" customFormat="1" x14ac:dyDescent="0.25">
      <c r="A71" s="37" t="str">
        <f>IF(COUNTBLANK(I71)=1," ",COUNTA($I$24:I71))</f>
        <v xml:space="preserve"> </v>
      </c>
      <c r="B71" s="37"/>
      <c r="C71" s="101" t="s">
        <v>103</v>
      </c>
      <c r="D71" s="101"/>
      <c r="E71" s="101"/>
      <c r="F71" s="101"/>
      <c r="G71" s="101"/>
      <c r="H71" s="19"/>
      <c r="I71" s="101"/>
      <c r="J71" s="101"/>
      <c r="K71" s="101"/>
      <c r="L71" s="101"/>
      <c r="M71" s="102">
        <f>SUM(M69:M70)</f>
        <v>0</v>
      </c>
      <c r="N71" s="102">
        <f>SUM(N69:N70)</f>
        <v>0</v>
      </c>
      <c r="O71" s="102">
        <f>SUM(O69:O70)</f>
        <v>0</v>
      </c>
      <c r="P71" s="102">
        <f>SUM(P69:P70)</f>
        <v>0</v>
      </c>
      <c r="Q71" s="102">
        <f>SUM(N71:P71)</f>
        <v>0</v>
      </c>
      <c r="AMD71"/>
      <c r="AME71"/>
      <c r="AMF71"/>
      <c r="AMG71"/>
      <c r="AMH71"/>
      <c r="AMI71"/>
      <c r="AMJ71"/>
    </row>
    <row r="72" spans="1:1024" s="27" customFormat="1" ht="11.25" x14ac:dyDescent="0.25">
      <c r="A72" s="104"/>
      <c r="B72" s="104"/>
      <c r="C72" s="101"/>
      <c r="D72" s="19"/>
      <c r="E72" s="105"/>
      <c r="F72" s="19"/>
      <c r="G72" s="19"/>
      <c r="H72" s="19"/>
      <c r="I72" s="19"/>
      <c r="J72" s="19"/>
      <c r="K72" s="19"/>
      <c r="L72" s="19"/>
      <c r="M72" s="19"/>
      <c r="N72" s="19"/>
      <c r="O72" s="19"/>
      <c r="P72" s="19"/>
      <c r="Q72" s="19"/>
    </row>
    <row r="73" spans="1:1024" s="25" customFormat="1" x14ac:dyDescent="0.25">
      <c r="A73" s="104"/>
      <c r="B73" s="104"/>
      <c r="C73" s="53" t="s">
        <v>27</v>
      </c>
      <c r="D73" s="23"/>
      <c r="E73" s="27"/>
      <c r="F73" s="19"/>
      <c r="G73" s="19"/>
      <c r="H73" s="19"/>
      <c r="I73" s="19"/>
      <c r="J73" s="19"/>
      <c r="K73" s="19"/>
      <c r="L73" s="19"/>
      <c r="M73" s="19"/>
      <c r="N73" s="19"/>
      <c r="O73" s="19"/>
      <c r="P73" s="19"/>
      <c r="Q73" s="19"/>
      <c r="AMD73"/>
      <c r="AME73"/>
      <c r="AMF73"/>
      <c r="AMG73"/>
      <c r="AMH73"/>
      <c r="AMI73"/>
      <c r="AMJ73"/>
    </row>
    <row r="74" spans="1:1024" s="25" customFormat="1" x14ac:dyDescent="0.25">
      <c r="A74" s="104"/>
      <c r="B74" s="104"/>
      <c r="C74" s="54" t="s">
        <v>28</v>
      </c>
      <c r="D74" s="23"/>
      <c r="E74" s="27"/>
      <c r="F74" s="19"/>
      <c r="G74" s="19"/>
      <c r="H74" s="19"/>
      <c r="I74" s="19"/>
      <c r="J74" s="19"/>
      <c r="K74" s="19"/>
      <c r="L74" s="19"/>
      <c r="M74" s="19"/>
      <c r="N74" s="19"/>
      <c r="O74" s="19"/>
      <c r="P74" s="19"/>
      <c r="Q74" s="19"/>
      <c r="AMD74"/>
      <c r="AME74"/>
      <c r="AMF74"/>
      <c r="AMG74"/>
      <c r="AMH74"/>
      <c r="AMI74"/>
      <c r="AMJ74"/>
    </row>
    <row r="75" spans="1:1024" s="52" customFormat="1" ht="11.25" x14ac:dyDescent="0.25">
      <c r="A75" s="27"/>
      <c r="B75" s="27"/>
      <c r="C75" s="43"/>
      <c r="D75" s="23"/>
      <c r="E75" s="27"/>
      <c r="F75" s="43"/>
      <c r="G75" s="19"/>
      <c r="H75" s="43"/>
      <c r="I75" s="43"/>
      <c r="J75" s="43"/>
      <c r="K75" s="43"/>
      <c r="L75" s="43"/>
      <c r="M75" s="43"/>
      <c r="N75" s="43"/>
      <c r="O75" s="43"/>
      <c r="P75" s="43"/>
      <c r="Q75" s="43"/>
    </row>
    <row r="76" spans="1:1024" x14ac:dyDescent="0.25">
      <c r="A76" s="27"/>
      <c r="B76" s="27"/>
      <c r="C76" s="55" t="s">
        <v>29</v>
      </c>
      <c r="D76" s="23"/>
      <c r="E76" s="27"/>
      <c r="F76" s="43"/>
      <c r="G76" s="106"/>
      <c r="H76" s="43"/>
      <c r="I76" s="43"/>
      <c r="J76" s="43"/>
      <c r="K76" s="43"/>
      <c r="L76" s="43"/>
      <c r="M76" s="43"/>
      <c r="N76" s="43"/>
      <c r="O76" s="43"/>
      <c r="P76" s="43"/>
      <c r="Q76" s="43"/>
    </row>
    <row r="77" spans="1:1024" x14ac:dyDescent="0.25">
      <c r="A77" s="27"/>
      <c r="B77" s="27"/>
      <c r="C77" s="48" t="s">
        <v>30</v>
      </c>
      <c r="D77" s="23"/>
      <c r="E77" s="27"/>
      <c r="F77" s="43"/>
      <c r="G77" s="19"/>
      <c r="H77" s="43"/>
      <c r="I77" s="43"/>
      <c r="J77" s="43"/>
      <c r="K77" s="43"/>
      <c r="L77" s="43"/>
      <c r="M77" s="43"/>
      <c r="N77" s="43"/>
      <c r="O77" s="43"/>
      <c r="P77" s="43"/>
      <c r="Q77" s="43"/>
    </row>
  </sheetData>
  <autoFilter ref="A13:Q67" xr:uid="{00000000-0009-0000-0000-000001000000}"/>
  <mergeCells count="9">
    <mergeCell ref="A2:E2"/>
    <mergeCell ref="A9:P9"/>
    <mergeCell ref="A11:A12"/>
    <mergeCell ref="B11:B12"/>
    <mergeCell ref="C11:C12"/>
    <mergeCell ref="D11:D12"/>
    <mergeCell ref="E11:E12"/>
    <mergeCell ref="G11:L11"/>
    <mergeCell ref="M11:Q11"/>
  </mergeCells>
  <pageMargins left="0" right="0" top="0.78749999999999998" bottom="0.39374999999999999" header="0.51180555555555496" footer="0.51180555555555496"/>
  <pageSetup paperSize="0" scale="0" firstPageNumber="0" orientation="portrait" usePrinterDefaults="0" horizontalDpi="0" verticalDpi="0" copies="0"/>
  <rowBreaks count="2" manualBreakCount="2">
    <brk id="28"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K40"/>
  <sheetViews>
    <sheetView topLeftCell="A24" zoomScale="85" zoomScaleNormal="85" workbookViewId="0">
      <selection activeCell="D33" sqref="D33"/>
    </sheetView>
  </sheetViews>
  <sheetFormatPr defaultRowHeight="15" x14ac:dyDescent="0.25"/>
  <cols>
    <col min="1" max="1" width="12.85546875" style="107"/>
    <col min="2" max="2" width="42.140625" style="108"/>
    <col min="3" max="3" width="5.85546875" style="108"/>
    <col min="4" max="4" width="7.42578125" style="108"/>
    <col min="5" max="5" width="5.140625" style="108"/>
    <col min="6" max="6" width="6.85546875" style="108"/>
    <col min="7" max="7" width="3.5703125" style="108"/>
    <col min="8" max="8" width="5.85546875" style="108"/>
    <col min="9" max="9" width="5.5703125" style="108"/>
    <col min="10" max="10" width="5.140625" style="108"/>
    <col min="11" max="12" width="5.5703125" style="108"/>
    <col min="13" max="13" width="10.140625" style="108"/>
    <col min="14" max="14" width="7.5703125" style="108"/>
    <col min="15" max="15" width="5.85546875" style="108"/>
    <col min="16" max="17" width="6.7109375" style="108"/>
    <col min="18" max="18" width="6.5703125" style="108"/>
    <col min="19" max="19" width="6.7109375" style="108"/>
    <col min="20" max="20" width="8.42578125" style="108"/>
    <col min="21" max="21" width="7.42578125" style="108"/>
    <col min="22" max="28" width="9.42578125" style="109"/>
    <col min="29" max="33" width="8.28515625" style="109"/>
    <col min="34" max="1025" width="8.28515625" style="108"/>
  </cols>
  <sheetData>
    <row r="1" spans="1:33" s="115" customFormat="1" ht="11.25" x14ac:dyDescent="0.2">
      <c r="A1" s="110"/>
      <c r="B1" s="111"/>
      <c r="C1" s="112"/>
      <c r="D1" s="112"/>
      <c r="E1" s="112"/>
      <c r="F1" s="112"/>
      <c r="G1" s="112"/>
      <c r="H1" s="112"/>
      <c r="I1" s="112"/>
      <c r="J1" s="112"/>
      <c r="K1" s="4" t="s">
        <v>104</v>
      </c>
      <c r="L1" s="4"/>
      <c r="M1" s="4" t="s">
        <v>105</v>
      </c>
      <c r="N1" s="4"/>
      <c r="O1" s="4" t="s">
        <v>106</v>
      </c>
      <c r="P1" s="4"/>
      <c r="Q1" s="3" t="s">
        <v>107</v>
      </c>
      <c r="R1" s="3"/>
      <c r="S1" s="3"/>
      <c r="T1" s="3"/>
      <c r="U1" s="3"/>
      <c r="V1" s="113" t="str">
        <f>U2</f>
        <v>Cokola profils EB PVC VARIO 220</v>
      </c>
      <c r="W1" s="114"/>
      <c r="X1" s="114"/>
      <c r="Y1" s="114" t="s">
        <v>108</v>
      </c>
      <c r="Z1" s="114"/>
      <c r="AA1" s="114"/>
      <c r="AB1" s="114" t="s">
        <v>109</v>
      </c>
      <c r="AC1" s="114"/>
      <c r="AD1" s="114"/>
      <c r="AE1" s="114" t="s">
        <v>110</v>
      </c>
      <c r="AF1" s="114"/>
      <c r="AG1" s="114"/>
    </row>
    <row r="2" spans="1:33" s="121" customFormat="1" ht="10.15" customHeight="1" x14ac:dyDescent="0.2">
      <c r="A2" s="110"/>
      <c r="B2" s="2" t="s">
        <v>111</v>
      </c>
      <c r="C2" s="1" t="s">
        <v>112</v>
      </c>
      <c r="D2" s="1"/>
      <c r="E2" s="1"/>
      <c r="F2" s="1" t="s">
        <v>113</v>
      </c>
      <c r="G2" s="1"/>
      <c r="H2" s="1" t="s">
        <v>114</v>
      </c>
      <c r="I2" s="1"/>
      <c r="J2" s="1"/>
      <c r="K2" s="117"/>
      <c r="L2" s="117"/>
      <c r="M2" s="117" t="s">
        <v>115</v>
      </c>
      <c r="N2" s="117" t="s">
        <v>116</v>
      </c>
      <c r="O2" s="117" t="s">
        <v>116</v>
      </c>
      <c r="P2" s="117" t="s">
        <v>115</v>
      </c>
      <c r="Q2" s="15" t="s">
        <v>117</v>
      </c>
      <c r="R2" s="15" t="s">
        <v>118</v>
      </c>
      <c r="S2" s="15" t="s">
        <v>119</v>
      </c>
      <c r="T2" s="15" t="s">
        <v>120</v>
      </c>
      <c r="U2" s="291" t="s">
        <v>121</v>
      </c>
      <c r="V2" s="120"/>
      <c r="W2" s="114"/>
      <c r="X2" s="114"/>
      <c r="Y2" s="114"/>
      <c r="Z2" s="114"/>
      <c r="AA2" s="114"/>
      <c r="AB2" s="114"/>
      <c r="AC2" s="114"/>
      <c r="AD2" s="114"/>
      <c r="AF2" s="114"/>
      <c r="AG2" s="114"/>
    </row>
    <row r="3" spans="1:33" ht="33.75" x14ac:dyDescent="0.25">
      <c r="A3" s="122"/>
      <c r="B3" s="2"/>
      <c r="C3" s="118" t="s">
        <v>122</v>
      </c>
      <c r="D3" s="118" t="s">
        <v>123</v>
      </c>
      <c r="E3" s="117" t="s">
        <v>22</v>
      </c>
      <c r="F3" s="117" t="s">
        <v>124</v>
      </c>
      <c r="G3" s="117" t="s">
        <v>125</v>
      </c>
      <c r="H3" s="117" t="s">
        <v>126</v>
      </c>
      <c r="I3" s="118" t="s">
        <v>122</v>
      </c>
      <c r="J3" s="123" t="s">
        <v>123</v>
      </c>
      <c r="K3" s="117" t="s">
        <v>127</v>
      </c>
      <c r="L3" s="117" t="s">
        <v>128</v>
      </c>
      <c r="M3" s="124">
        <v>0.25</v>
      </c>
      <c r="N3" s="124">
        <v>0.3</v>
      </c>
      <c r="O3" s="117"/>
      <c r="P3" s="117"/>
      <c r="Q3" s="15"/>
      <c r="R3" s="15"/>
      <c r="S3" s="15"/>
      <c r="T3" s="15"/>
      <c r="U3" s="291"/>
      <c r="V3" s="122"/>
      <c r="W3" s="122"/>
      <c r="X3" s="122"/>
      <c r="Y3" s="122"/>
      <c r="Z3" s="122"/>
      <c r="AA3" s="122"/>
      <c r="AB3" s="122"/>
      <c r="AC3" s="122"/>
      <c r="AD3" s="122"/>
      <c r="AE3" s="122"/>
      <c r="AF3" s="122"/>
      <c r="AG3" s="122"/>
    </row>
    <row r="4" spans="1:33" x14ac:dyDescent="0.25">
      <c r="A4" s="122"/>
      <c r="B4" s="116" t="s">
        <v>129</v>
      </c>
      <c r="C4" s="125">
        <f t="shared" ref="C4:C21" si="0">E4-D4</f>
        <v>37</v>
      </c>
      <c r="D4" s="124">
        <v>17</v>
      </c>
      <c r="E4" s="124">
        <v>54</v>
      </c>
      <c r="F4" s="124">
        <v>1.5</v>
      </c>
      <c r="G4" s="124">
        <v>1.43</v>
      </c>
      <c r="H4" s="126">
        <f t="shared" ref="H4:H26" si="1">F4*G4</f>
        <v>2.145</v>
      </c>
      <c r="I4" s="126">
        <f t="shared" ref="I4:I26" si="2">H4*C4</f>
        <v>79.364999999999995</v>
      </c>
      <c r="J4" s="127">
        <f t="shared" ref="J4:J26" si="3">H4*D4</f>
        <v>36.465000000000003</v>
      </c>
      <c r="K4" s="126">
        <f>(F4*2+G4*2)*E4</f>
        <v>316.43999999999994</v>
      </c>
      <c r="L4" s="126">
        <f>(F4*2+G4*2)*D4</f>
        <v>99.61999999999999</v>
      </c>
      <c r="M4" s="126">
        <f>K4*M3</f>
        <v>79.109999999999985</v>
      </c>
      <c r="N4" s="126">
        <f>L4*N3</f>
        <v>29.885999999999996</v>
      </c>
      <c r="O4" s="126">
        <f t="shared" ref="O4:O9" si="4">F4*D4</f>
        <v>25.5</v>
      </c>
      <c r="P4" s="126">
        <f t="shared" ref="P4:P9" si="5">E4*F4*1.05</f>
        <v>85.05</v>
      </c>
      <c r="Q4" s="126">
        <f>E4*(F4+2*G4)</f>
        <v>235.43999999999997</v>
      </c>
      <c r="R4" s="126">
        <f t="shared" ref="R4:R26" si="6">Q4</f>
        <v>235.43999999999997</v>
      </c>
      <c r="S4" s="126">
        <f t="shared" ref="S4:S26" si="7">E4*F4</f>
        <v>81</v>
      </c>
      <c r="T4" s="126">
        <f t="shared" ref="T4:T26" si="8">S4</f>
        <v>81</v>
      </c>
      <c r="U4" s="119"/>
      <c r="V4" s="120"/>
      <c r="W4" s="122"/>
      <c r="X4" s="122"/>
      <c r="Y4" s="122"/>
      <c r="Z4" s="122"/>
      <c r="AA4" s="122"/>
      <c r="AB4" s="122"/>
      <c r="AC4" s="122"/>
      <c r="AD4" s="122"/>
      <c r="AE4" s="122"/>
      <c r="AF4" s="122"/>
      <c r="AG4" s="122"/>
    </row>
    <row r="5" spans="1:33" x14ac:dyDescent="0.25">
      <c r="A5" s="122"/>
      <c r="B5" s="116" t="s">
        <v>130</v>
      </c>
      <c r="C5" s="125">
        <f t="shared" si="0"/>
        <v>65</v>
      </c>
      <c r="D5" s="124">
        <v>14</v>
      </c>
      <c r="E5" s="124">
        <v>79</v>
      </c>
      <c r="F5" s="124">
        <v>2.34</v>
      </c>
      <c r="G5" s="124">
        <v>1.43</v>
      </c>
      <c r="H5" s="126">
        <f t="shared" si="1"/>
        <v>3.3461999999999996</v>
      </c>
      <c r="I5" s="126">
        <f t="shared" si="2"/>
        <v>217.50299999999999</v>
      </c>
      <c r="J5" s="127">
        <f t="shared" si="3"/>
        <v>46.846799999999995</v>
      </c>
      <c r="K5" s="126">
        <f>(F5*2+G5*2)*E5</f>
        <v>595.66</v>
      </c>
      <c r="L5" s="126">
        <f>(F5*2+G5*2)*D5</f>
        <v>105.55999999999999</v>
      </c>
      <c r="M5" s="126">
        <f>K5*M3</f>
        <v>148.91499999999999</v>
      </c>
      <c r="N5" s="126">
        <f>L5*N3</f>
        <v>31.667999999999996</v>
      </c>
      <c r="O5" s="126">
        <f t="shared" si="4"/>
        <v>32.76</v>
      </c>
      <c r="P5" s="126">
        <f t="shared" si="5"/>
        <v>194.10299999999998</v>
      </c>
      <c r="Q5" s="126">
        <f>E5*(F5+2*G5)</f>
        <v>410.79999999999995</v>
      </c>
      <c r="R5" s="126">
        <f t="shared" si="6"/>
        <v>410.79999999999995</v>
      </c>
      <c r="S5" s="126">
        <f t="shared" si="7"/>
        <v>184.85999999999999</v>
      </c>
      <c r="T5" s="126">
        <f t="shared" si="8"/>
        <v>184.85999999999999</v>
      </c>
      <c r="U5" s="119"/>
      <c r="V5" s="120"/>
      <c r="W5" s="122"/>
      <c r="X5" s="122"/>
      <c r="Y5" s="122"/>
      <c r="Z5" s="122"/>
      <c r="AA5" s="122"/>
      <c r="AB5" s="122"/>
      <c r="AC5" s="122"/>
      <c r="AD5" s="122"/>
      <c r="AE5" s="122"/>
      <c r="AF5" s="122"/>
      <c r="AG5" s="122"/>
    </row>
    <row r="6" spans="1:33" x14ac:dyDescent="0.25">
      <c r="A6" s="122"/>
      <c r="B6" s="116" t="s">
        <v>131</v>
      </c>
      <c r="C6" s="125">
        <f t="shared" si="0"/>
        <v>8</v>
      </c>
      <c r="D6" s="124">
        <v>10</v>
      </c>
      <c r="E6" s="124">
        <v>18</v>
      </c>
      <c r="F6" s="124">
        <v>1.54</v>
      </c>
      <c r="G6" s="124">
        <v>1.43</v>
      </c>
      <c r="H6" s="126">
        <f t="shared" si="1"/>
        <v>2.2021999999999999</v>
      </c>
      <c r="I6" s="126">
        <f t="shared" si="2"/>
        <v>17.617599999999999</v>
      </c>
      <c r="J6" s="127">
        <f t="shared" si="3"/>
        <v>22.021999999999998</v>
      </c>
      <c r="K6" s="126">
        <f>(F6*2+G6*2)*E6</f>
        <v>106.91999999999999</v>
      </c>
      <c r="L6" s="126">
        <f>(F6*2+G6*2)*D6</f>
        <v>59.399999999999991</v>
      </c>
      <c r="M6" s="126">
        <f>K6*M3</f>
        <v>26.729999999999997</v>
      </c>
      <c r="N6" s="126">
        <f>L6*N3</f>
        <v>17.819999999999997</v>
      </c>
      <c r="O6" s="126">
        <f t="shared" si="4"/>
        <v>15.4</v>
      </c>
      <c r="P6" s="126">
        <f t="shared" si="5"/>
        <v>29.106000000000002</v>
      </c>
      <c r="Q6" s="126">
        <f>E6*(F6+2*G6)</f>
        <v>79.2</v>
      </c>
      <c r="R6" s="126">
        <f t="shared" si="6"/>
        <v>79.2</v>
      </c>
      <c r="S6" s="126">
        <f t="shared" si="7"/>
        <v>27.72</v>
      </c>
      <c r="T6" s="126">
        <f t="shared" si="8"/>
        <v>27.72</v>
      </c>
      <c r="U6" s="119"/>
      <c r="V6" s="128"/>
      <c r="W6" s="122"/>
      <c r="X6" s="122"/>
      <c r="Y6" s="122"/>
      <c r="Z6" s="122"/>
      <c r="AA6" s="122"/>
      <c r="AB6" s="122"/>
      <c r="AC6" s="122"/>
      <c r="AD6" s="122"/>
      <c r="AE6" s="122"/>
      <c r="AF6" s="122"/>
      <c r="AG6" s="122"/>
    </row>
    <row r="7" spans="1:33" x14ac:dyDescent="0.25">
      <c r="A7" s="122"/>
      <c r="B7" s="116" t="s">
        <v>132</v>
      </c>
      <c r="C7" s="125">
        <f t="shared" si="0"/>
        <v>14</v>
      </c>
      <c r="D7" s="124">
        <v>4</v>
      </c>
      <c r="E7" s="124">
        <v>18</v>
      </c>
      <c r="F7" s="124">
        <v>1.54</v>
      </c>
      <c r="G7" s="124">
        <v>1.43</v>
      </c>
      <c r="H7" s="126">
        <f t="shared" si="1"/>
        <v>2.2021999999999999</v>
      </c>
      <c r="I7" s="126">
        <f t="shared" si="2"/>
        <v>30.8308</v>
      </c>
      <c r="J7" s="127">
        <f t="shared" si="3"/>
        <v>8.8087999999999997</v>
      </c>
      <c r="K7" s="126">
        <f>(F7*2+G7*2)*E7</f>
        <v>106.91999999999999</v>
      </c>
      <c r="L7" s="126">
        <f>(F7*2+G7*2)*D7</f>
        <v>23.759999999999998</v>
      </c>
      <c r="M7" s="126">
        <f>K7*M3</f>
        <v>26.729999999999997</v>
      </c>
      <c r="N7" s="126">
        <f>L7*N3</f>
        <v>7.1279999999999992</v>
      </c>
      <c r="O7" s="126">
        <f t="shared" si="4"/>
        <v>6.16</v>
      </c>
      <c r="P7" s="126">
        <f t="shared" si="5"/>
        <v>29.106000000000002</v>
      </c>
      <c r="Q7" s="126">
        <f>E7*(F7+2*G7)</f>
        <v>79.2</v>
      </c>
      <c r="R7" s="126">
        <f t="shared" si="6"/>
        <v>79.2</v>
      </c>
      <c r="S7" s="126">
        <f t="shared" si="7"/>
        <v>27.72</v>
      </c>
      <c r="T7" s="126">
        <f t="shared" si="8"/>
        <v>27.72</v>
      </c>
      <c r="U7" s="119"/>
      <c r="V7" s="128"/>
      <c r="W7" s="122"/>
      <c r="X7" s="122"/>
      <c r="Y7" s="122"/>
      <c r="Z7" s="122"/>
      <c r="AA7" s="122"/>
      <c r="AB7" s="122"/>
      <c r="AC7" s="122"/>
      <c r="AD7" s="122"/>
      <c r="AE7" s="122"/>
      <c r="AF7" s="122"/>
      <c r="AG7" s="122"/>
    </row>
    <row r="8" spans="1:33" x14ac:dyDescent="0.25">
      <c r="A8" s="122"/>
      <c r="B8" s="116" t="s">
        <v>133</v>
      </c>
      <c r="C8" s="125">
        <f t="shared" si="0"/>
        <v>6</v>
      </c>
      <c r="D8" s="124">
        <v>3</v>
      </c>
      <c r="E8" s="124">
        <v>9</v>
      </c>
      <c r="F8" s="124">
        <v>1.54</v>
      </c>
      <c r="G8" s="124">
        <v>1.43</v>
      </c>
      <c r="H8" s="126">
        <f t="shared" si="1"/>
        <v>2.2021999999999999</v>
      </c>
      <c r="I8" s="126">
        <f t="shared" si="2"/>
        <v>13.213200000000001</v>
      </c>
      <c r="J8" s="127">
        <f t="shared" si="3"/>
        <v>6.6066000000000003</v>
      </c>
      <c r="K8" s="126">
        <f>(F8*2+G8*2)*E8</f>
        <v>53.459999999999994</v>
      </c>
      <c r="L8" s="126">
        <f>(F8*2+G8*2)*D8</f>
        <v>17.82</v>
      </c>
      <c r="M8" s="126">
        <f>K8*M3</f>
        <v>13.364999999999998</v>
      </c>
      <c r="N8" s="126">
        <f>L8*N3</f>
        <v>5.3460000000000001</v>
      </c>
      <c r="O8" s="126">
        <f t="shared" si="4"/>
        <v>4.62</v>
      </c>
      <c r="P8" s="126">
        <f t="shared" si="5"/>
        <v>14.553000000000001</v>
      </c>
      <c r="Q8" s="126">
        <f>E8*(F8+2*G8)</f>
        <v>39.6</v>
      </c>
      <c r="R8" s="126">
        <f t="shared" si="6"/>
        <v>39.6</v>
      </c>
      <c r="S8" s="126">
        <f t="shared" si="7"/>
        <v>13.86</v>
      </c>
      <c r="T8" s="126">
        <f t="shared" si="8"/>
        <v>13.86</v>
      </c>
      <c r="U8" s="119"/>
      <c r="V8" s="128"/>
      <c r="W8" s="122"/>
      <c r="X8" s="122"/>
      <c r="Y8" s="122"/>
      <c r="Z8" s="122"/>
      <c r="AA8" s="122"/>
      <c r="AB8" s="122"/>
      <c r="AC8" s="122"/>
      <c r="AD8" s="122"/>
      <c r="AE8" s="122"/>
      <c r="AF8" s="122"/>
      <c r="AG8" s="122"/>
    </row>
    <row r="9" spans="1:33" x14ac:dyDescent="0.25">
      <c r="A9" s="122"/>
      <c r="B9" s="116" t="s">
        <v>134</v>
      </c>
      <c r="C9" s="125">
        <f t="shared" si="0"/>
        <v>43</v>
      </c>
      <c r="D9" s="124">
        <v>11</v>
      </c>
      <c r="E9" s="124">
        <v>54</v>
      </c>
      <c r="F9" s="124">
        <v>1.54</v>
      </c>
      <c r="G9" s="124">
        <v>1.43</v>
      </c>
      <c r="H9" s="126">
        <f t="shared" si="1"/>
        <v>2.2021999999999999</v>
      </c>
      <c r="I9" s="126">
        <f t="shared" si="2"/>
        <v>94.694599999999994</v>
      </c>
      <c r="J9" s="127">
        <f t="shared" si="3"/>
        <v>24.2242</v>
      </c>
      <c r="K9" s="126">
        <f>(F9*2+G9*1)*E9</f>
        <v>243.54</v>
      </c>
      <c r="L9" s="126">
        <f>(F9*2+G9*1)*D9</f>
        <v>49.61</v>
      </c>
      <c r="M9" s="126">
        <f>K9*M3</f>
        <v>60.884999999999998</v>
      </c>
      <c r="N9" s="126">
        <f>L9*N3</f>
        <v>14.882999999999999</v>
      </c>
      <c r="O9" s="126">
        <f t="shared" si="4"/>
        <v>16.940000000000001</v>
      </c>
      <c r="P9" s="126">
        <f t="shared" si="5"/>
        <v>87.317999999999998</v>
      </c>
      <c r="Q9" s="126">
        <f>E9*(F9+G9)</f>
        <v>160.38</v>
      </c>
      <c r="R9" s="126">
        <f t="shared" si="6"/>
        <v>160.38</v>
      </c>
      <c r="S9" s="126">
        <f t="shared" si="7"/>
        <v>83.16</v>
      </c>
      <c r="T9" s="126">
        <f t="shared" si="8"/>
        <v>83.16</v>
      </c>
      <c r="U9" s="119"/>
      <c r="V9" s="128"/>
      <c r="W9" s="122"/>
      <c r="X9" s="122"/>
      <c r="Y9" s="122"/>
      <c r="Z9" s="122"/>
      <c r="AA9" s="122"/>
      <c r="AB9" s="122"/>
      <c r="AC9" s="122"/>
      <c r="AD9" s="122"/>
      <c r="AE9" s="122"/>
      <c r="AF9" s="122"/>
      <c r="AG9" s="122"/>
    </row>
    <row r="10" spans="1:33" x14ac:dyDescent="0.25">
      <c r="A10" s="122"/>
      <c r="B10" s="116" t="s">
        <v>135</v>
      </c>
      <c r="C10" s="125">
        <f t="shared" si="0"/>
        <v>43</v>
      </c>
      <c r="D10" s="125">
        <f>D9</f>
        <v>11</v>
      </c>
      <c r="E10" s="125">
        <f>E9</f>
        <v>54</v>
      </c>
      <c r="F10" s="124">
        <v>0.75</v>
      </c>
      <c r="G10" s="124">
        <v>2.2000000000000002</v>
      </c>
      <c r="H10" s="126">
        <f t="shared" si="1"/>
        <v>1.6500000000000001</v>
      </c>
      <c r="I10" s="126">
        <f t="shared" si="2"/>
        <v>70.95</v>
      </c>
      <c r="J10" s="127">
        <f t="shared" si="3"/>
        <v>18.150000000000002</v>
      </c>
      <c r="K10" s="126">
        <f>(F10*2+G10*2)*E10-(G9*E9)</f>
        <v>241.38000000000002</v>
      </c>
      <c r="L10" s="126">
        <f>(F10*2+G10*2)*D10-(D9*G9)</f>
        <v>49.170000000000009</v>
      </c>
      <c r="M10" s="126">
        <f>K10*M3</f>
        <v>60.345000000000006</v>
      </c>
      <c r="N10" s="126">
        <f>L10*N3</f>
        <v>14.751000000000001</v>
      </c>
      <c r="O10" s="126"/>
      <c r="P10" s="126"/>
      <c r="Q10" s="126">
        <f>E10*(F10+2*G10)-(E9*G9)</f>
        <v>200.88000000000002</v>
      </c>
      <c r="R10" s="126">
        <f t="shared" si="6"/>
        <v>200.88000000000002</v>
      </c>
      <c r="S10" s="126">
        <f t="shared" si="7"/>
        <v>40.5</v>
      </c>
      <c r="T10" s="126">
        <f t="shared" si="8"/>
        <v>40.5</v>
      </c>
      <c r="U10" s="119"/>
      <c r="V10" s="128"/>
      <c r="W10" s="122"/>
      <c r="X10" s="122"/>
      <c r="Y10" s="122"/>
      <c r="Z10" s="122"/>
      <c r="AA10" s="122"/>
      <c r="AB10" s="122"/>
      <c r="AC10" s="122"/>
      <c r="AD10" s="122"/>
      <c r="AE10" s="122"/>
      <c r="AF10" s="122"/>
      <c r="AG10" s="122"/>
    </row>
    <row r="11" spans="1:33" x14ac:dyDescent="0.25">
      <c r="A11" s="122"/>
      <c r="B11" s="116" t="s">
        <v>136</v>
      </c>
      <c r="C11" s="125">
        <f t="shared" si="0"/>
        <v>15</v>
      </c>
      <c r="D11" s="124">
        <v>3</v>
      </c>
      <c r="E11" s="124">
        <v>18</v>
      </c>
      <c r="F11" s="124">
        <v>1.54</v>
      </c>
      <c r="G11" s="124">
        <v>1.43</v>
      </c>
      <c r="H11" s="126">
        <f t="shared" si="1"/>
        <v>2.2021999999999999</v>
      </c>
      <c r="I11" s="126">
        <f t="shared" si="2"/>
        <v>33.033000000000001</v>
      </c>
      <c r="J11" s="127">
        <f t="shared" si="3"/>
        <v>6.6066000000000003</v>
      </c>
      <c r="K11" s="126">
        <f>(F11*2+G11*1)*E11</f>
        <v>81.179999999999993</v>
      </c>
      <c r="L11" s="126">
        <f>(F11*2+G11*1)*D11</f>
        <v>13.53</v>
      </c>
      <c r="M11" s="126">
        <f>K11*M3</f>
        <v>20.294999999999998</v>
      </c>
      <c r="N11" s="126">
        <f>L11*N3</f>
        <v>4.0589999999999993</v>
      </c>
      <c r="O11" s="126">
        <f>F11*D11</f>
        <v>4.62</v>
      </c>
      <c r="P11" s="126">
        <f>E11*F11*1.05</f>
        <v>29.106000000000002</v>
      </c>
      <c r="Q11" s="126">
        <f>E11*(F11+G11)</f>
        <v>53.459999999999994</v>
      </c>
      <c r="R11" s="126">
        <f t="shared" si="6"/>
        <v>53.459999999999994</v>
      </c>
      <c r="S11" s="126">
        <f t="shared" si="7"/>
        <v>27.72</v>
      </c>
      <c r="T11" s="126">
        <f t="shared" si="8"/>
        <v>27.72</v>
      </c>
      <c r="U11" s="119"/>
      <c r="V11" s="128"/>
      <c r="W11" s="122"/>
      <c r="X11" s="122"/>
      <c r="Y11" s="122"/>
      <c r="Z11" s="122"/>
      <c r="AA11" s="122"/>
      <c r="AB11" s="122"/>
      <c r="AC11" s="122"/>
      <c r="AD11" s="122"/>
      <c r="AE11" s="122"/>
      <c r="AF11" s="122"/>
      <c r="AG11" s="122"/>
    </row>
    <row r="12" spans="1:33" x14ac:dyDescent="0.25">
      <c r="A12" s="122"/>
      <c r="B12" s="116" t="s">
        <v>137</v>
      </c>
      <c r="C12" s="125">
        <f t="shared" si="0"/>
        <v>15</v>
      </c>
      <c r="D12" s="125">
        <f>D11</f>
        <v>3</v>
      </c>
      <c r="E12" s="125">
        <f>E11</f>
        <v>18</v>
      </c>
      <c r="F12" s="124">
        <v>0.75</v>
      </c>
      <c r="G12" s="124">
        <v>2.2000000000000002</v>
      </c>
      <c r="H12" s="126">
        <f t="shared" si="1"/>
        <v>1.6500000000000001</v>
      </c>
      <c r="I12" s="126">
        <f t="shared" si="2"/>
        <v>24.750000000000004</v>
      </c>
      <c r="J12" s="127">
        <f t="shared" si="3"/>
        <v>4.95</v>
      </c>
      <c r="K12" s="126">
        <f>(F12*2+G12*2)*E12-(G11*E11)</f>
        <v>80.460000000000008</v>
      </c>
      <c r="L12" s="126">
        <f>(F12*2+G12*2)*D12-(D11*G11)</f>
        <v>13.410000000000004</v>
      </c>
      <c r="M12" s="126">
        <f>K12*M3</f>
        <v>20.115000000000002</v>
      </c>
      <c r="N12" s="126">
        <f>L12*N3</f>
        <v>4.0230000000000006</v>
      </c>
      <c r="O12" s="126"/>
      <c r="P12" s="126"/>
      <c r="Q12" s="126">
        <f>E12*(F12+2*G12)-(E11*G11)</f>
        <v>66.960000000000008</v>
      </c>
      <c r="R12" s="126">
        <f t="shared" si="6"/>
        <v>66.960000000000008</v>
      </c>
      <c r="S12" s="126">
        <f t="shared" si="7"/>
        <v>13.5</v>
      </c>
      <c r="T12" s="126">
        <f t="shared" si="8"/>
        <v>13.5</v>
      </c>
      <c r="U12" s="119"/>
      <c r="V12" s="128" t="s">
        <v>138</v>
      </c>
      <c r="W12" s="122"/>
      <c r="X12" s="122"/>
      <c r="Y12" s="113" t="s">
        <v>139</v>
      </c>
      <c r="Z12" s="122"/>
      <c r="AA12" s="122"/>
      <c r="AB12" s="113" t="s">
        <v>140</v>
      </c>
      <c r="AC12" s="122"/>
      <c r="AD12" s="122"/>
      <c r="AE12" s="122"/>
      <c r="AF12" s="122"/>
      <c r="AG12" s="122"/>
    </row>
    <row r="13" spans="1:33" x14ac:dyDescent="0.25">
      <c r="A13" s="122"/>
      <c r="B13" s="116" t="s">
        <v>141</v>
      </c>
      <c r="C13" s="125">
        <f t="shared" si="0"/>
        <v>54</v>
      </c>
      <c r="D13" s="124">
        <v>9</v>
      </c>
      <c r="E13" s="124">
        <v>63</v>
      </c>
      <c r="F13" s="124">
        <v>1.54</v>
      </c>
      <c r="G13" s="124">
        <v>1.43</v>
      </c>
      <c r="H13" s="126">
        <f t="shared" si="1"/>
        <v>2.2021999999999999</v>
      </c>
      <c r="I13" s="126">
        <f t="shared" si="2"/>
        <v>118.91879999999999</v>
      </c>
      <c r="J13" s="127">
        <f t="shared" si="3"/>
        <v>19.819800000000001</v>
      </c>
      <c r="K13" s="126">
        <f>(F13*2+G13*1)*E13</f>
        <v>284.13</v>
      </c>
      <c r="L13" s="126">
        <f>(F13*2+G13*1)*D13</f>
        <v>40.589999999999996</v>
      </c>
      <c r="M13" s="126">
        <f>K13*M3</f>
        <v>71.032499999999999</v>
      </c>
      <c r="N13" s="126">
        <f>L13*N3</f>
        <v>12.176999999999998</v>
      </c>
      <c r="O13" s="126">
        <f>F13*D13</f>
        <v>13.86</v>
      </c>
      <c r="P13" s="126">
        <f>E13*F13*1.05</f>
        <v>101.871</v>
      </c>
      <c r="Q13" s="126">
        <f>E13*(F13+G13)</f>
        <v>187.10999999999999</v>
      </c>
      <c r="R13" s="126">
        <f t="shared" si="6"/>
        <v>187.10999999999999</v>
      </c>
      <c r="S13" s="126">
        <f t="shared" si="7"/>
        <v>97.02</v>
      </c>
      <c r="T13" s="126">
        <f t="shared" si="8"/>
        <v>97.02</v>
      </c>
      <c r="U13" s="119"/>
      <c r="V13" s="128"/>
      <c r="W13" s="122"/>
      <c r="X13" s="122"/>
      <c r="Y13" s="122"/>
      <c r="Z13" s="122"/>
      <c r="AA13" s="122"/>
      <c r="AB13" s="122"/>
      <c r="AC13" s="122"/>
      <c r="AD13" s="122"/>
      <c r="AE13" s="122"/>
      <c r="AF13" s="122"/>
      <c r="AG13" s="122"/>
    </row>
    <row r="14" spans="1:33" x14ac:dyDescent="0.25">
      <c r="A14" s="122"/>
      <c r="B14" s="116" t="s">
        <v>142</v>
      </c>
      <c r="C14" s="125">
        <f t="shared" si="0"/>
        <v>54</v>
      </c>
      <c r="D14" s="125">
        <f>D13</f>
        <v>9</v>
      </c>
      <c r="E14" s="125">
        <f>E13</f>
        <v>63</v>
      </c>
      <c r="F14" s="124">
        <v>0.75</v>
      </c>
      <c r="G14" s="124">
        <v>2.2000000000000002</v>
      </c>
      <c r="H14" s="126">
        <f t="shared" si="1"/>
        <v>1.6500000000000001</v>
      </c>
      <c r="I14" s="126">
        <f t="shared" si="2"/>
        <v>89.100000000000009</v>
      </c>
      <c r="J14" s="127">
        <f t="shared" si="3"/>
        <v>14.850000000000001</v>
      </c>
      <c r="K14" s="126">
        <f>(F14*2+G14*2)*E14-(E13*G13)</f>
        <v>281.61000000000007</v>
      </c>
      <c r="L14" s="126">
        <f>(F14*2+G14*2)*D14-(D13*G13)</f>
        <v>40.230000000000004</v>
      </c>
      <c r="M14" s="126">
        <f>K14*M3</f>
        <v>70.402500000000018</v>
      </c>
      <c r="N14" s="126">
        <f>L14*N3</f>
        <v>12.069000000000001</v>
      </c>
      <c r="O14" s="126"/>
      <c r="P14" s="126"/>
      <c r="Q14" s="126">
        <f>E14*(F14+2*G14)-(E13*G13)</f>
        <v>234.36000000000007</v>
      </c>
      <c r="R14" s="126">
        <f t="shared" si="6"/>
        <v>234.36000000000007</v>
      </c>
      <c r="S14" s="126">
        <f t="shared" si="7"/>
        <v>47.25</v>
      </c>
      <c r="T14" s="126">
        <f t="shared" si="8"/>
        <v>47.25</v>
      </c>
      <c r="U14" s="119"/>
      <c r="V14" s="122"/>
      <c r="W14" s="122"/>
      <c r="X14" s="122"/>
      <c r="Y14" s="122"/>
      <c r="Z14" s="122"/>
      <c r="AA14" s="122"/>
      <c r="AB14" s="122"/>
      <c r="AC14" s="122"/>
      <c r="AD14" s="122"/>
      <c r="AE14" s="122"/>
      <c r="AF14" s="122"/>
      <c r="AG14" s="122"/>
    </row>
    <row r="15" spans="1:33" x14ac:dyDescent="0.25">
      <c r="A15" s="122"/>
      <c r="B15" s="116" t="s">
        <v>143</v>
      </c>
      <c r="C15" s="125">
        <f t="shared" si="0"/>
        <v>8</v>
      </c>
      <c r="D15" s="124">
        <v>1</v>
      </c>
      <c r="E15" s="124">
        <v>9</v>
      </c>
      <c r="F15" s="124">
        <v>1.54</v>
      </c>
      <c r="G15" s="124">
        <v>1.43</v>
      </c>
      <c r="H15" s="126">
        <f t="shared" si="1"/>
        <v>2.2021999999999999</v>
      </c>
      <c r="I15" s="126">
        <f t="shared" si="2"/>
        <v>17.617599999999999</v>
      </c>
      <c r="J15" s="127">
        <f t="shared" si="3"/>
        <v>2.2021999999999999</v>
      </c>
      <c r="K15" s="126">
        <f>(F15*2+G15*1)*E15</f>
        <v>40.589999999999996</v>
      </c>
      <c r="L15" s="126">
        <f>(F15*2+G15*1)*D15</f>
        <v>4.51</v>
      </c>
      <c r="M15" s="126">
        <f>K15*M3</f>
        <v>10.147499999999999</v>
      </c>
      <c r="N15" s="126">
        <f>L15*N3</f>
        <v>1.353</v>
      </c>
      <c r="O15" s="126">
        <f>F15*D15</f>
        <v>1.54</v>
      </c>
      <c r="P15" s="126">
        <f>E15*F15*1.05</f>
        <v>14.553000000000001</v>
      </c>
      <c r="Q15" s="126">
        <f>E15*(F15+G15)</f>
        <v>26.729999999999997</v>
      </c>
      <c r="R15" s="126">
        <f t="shared" si="6"/>
        <v>26.729999999999997</v>
      </c>
      <c r="S15" s="126">
        <f t="shared" si="7"/>
        <v>13.86</v>
      </c>
      <c r="T15" s="126">
        <f t="shared" si="8"/>
        <v>13.86</v>
      </c>
      <c r="U15" s="119"/>
      <c r="V15" s="128"/>
      <c r="W15" s="122"/>
      <c r="X15" s="122"/>
      <c r="Y15" s="122"/>
      <c r="Z15" s="122"/>
      <c r="AA15" s="122"/>
      <c r="AB15" s="122"/>
      <c r="AC15" s="122"/>
      <c r="AD15" s="122"/>
      <c r="AE15" s="122"/>
      <c r="AF15" s="122"/>
      <c r="AG15" s="122"/>
    </row>
    <row r="16" spans="1:33" x14ac:dyDescent="0.25">
      <c r="A16" s="122"/>
      <c r="B16" s="116" t="s">
        <v>144</v>
      </c>
      <c r="C16" s="125">
        <f t="shared" si="0"/>
        <v>8</v>
      </c>
      <c r="D16" s="125">
        <f>D15</f>
        <v>1</v>
      </c>
      <c r="E16" s="125">
        <f>E15</f>
        <v>9</v>
      </c>
      <c r="F16" s="124">
        <v>0.75</v>
      </c>
      <c r="G16" s="124">
        <v>2.2000000000000002</v>
      </c>
      <c r="H16" s="126">
        <f t="shared" si="1"/>
        <v>1.6500000000000001</v>
      </c>
      <c r="I16" s="126">
        <f t="shared" si="2"/>
        <v>13.200000000000001</v>
      </c>
      <c r="J16" s="127">
        <f t="shared" si="3"/>
        <v>1.6500000000000001</v>
      </c>
      <c r="K16" s="126">
        <f>(F16*2+G16*2)*E16-(E15*G15)</f>
        <v>40.230000000000004</v>
      </c>
      <c r="L16" s="126">
        <f>(F16*2+G16*2)*D16-(D15*G15)</f>
        <v>4.4700000000000006</v>
      </c>
      <c r="M16" s="126">
        <f>K16*M3</f>
        <v>10.057500000000001</v>
      </c>
      <c r="N16" s="126">
        <f>L16*N3</f>
        <v>1.3410000000000002</v>
      </c>
      <c r="O16" s="126"/>
      <c r="P16" s="126"/>
      <c r="Q16" s="126">
        <f>E16*(F16+2*G16)-(E15*G15)</f>
        <v>33.480000000000004</v>
      </c>
      <c r="R16" s="126">
        <f t="shared" si="6"/>
        <v>33.480000000000004</v>
      </c>
      <c r="S16" s="126">
        <f t="shared" si="7"/>
        <v>6.75</v>
      </c>
      <c r="T16" s="126">
        <f t="shared" si="8"/>
        <v>6.75</v>
      </c>
      <c r="U16" s="119"/>
      <c r="V16" s="128"/>
      <c r="W16" s="122"/>
      <c r="X16" s="122"/>
      <c r="Y16" s="122"/>
      <c r="Z16" s="122"/>
      <c r="AA16" s="122"/>
      <c r="AB16" s="122"/>
      <c r="AC16" s="122"/>
      <c r="AD16" s="122"/>
      <c r="AE16" s="122"/>
      <c r="AF16" s="122"/>
      <c r="AG16" s="122"/>
    </row>
    <row r="17" spans="1:33" x14ac:dyDescent="0.25">
      <c r="A17" s="122"/>
      <c r="B17" s="116" t="s">
        <v>145</v>
      </c>
      <c r="C17" s="125">
        <f t="shared" si="0"/>
        <v>33</v>
      </c>
      <c r="D17" s="124">
        <v>0</v>
      </c>
      <c r="E17" s="124">
        <v>33</v>
      </c>
      <c r="F17" s="124">
        <v>1.1299999999999999</v>
      </c>
      <c r="G17" s="124">
        <v>0.32</v>
      </c>
      <c r="H17" s="126">
        <f t="shared" si="1"/>
        <v>0.36159999999999998</v>
      </c>
      <c r="I17" s="126">
        <f t="shared" si="2"/>
        <v>11.932799999999999</v>
      </c>
      <c r="J17" s="127">
        <f t="shared" si="3"/>
        <v>0</v>
      </c>
      <c r="K17" s="126">
        <f>(F17*2+G17*2)*E17</f>
        <v>95.7</v>
      </c>
      <c r="L17" s="126">
        <f t="shared" ref="L17:L26" si="9">(F17*2+G17*2)*D17</f>
        <v>0</v>
      </c>
      <c r="M17" s="126">
        <f>K17*M3</f>
        <v>23.925000000000001</v>
      </c>
      <c r="N17" s="126">
        <f>L17*N3</f>
        <v>0</v>
      </c>
      <c r="O17" s="126">
        <f>F17*D17</f>
        <v>0</v>
      </c>
      <c r="P17" s="126">
        <f>E17*F17*1.05</f>
        <v>39.154499999999999</v>
      </c>
      <c r="Q17" s="126">
        <f>E17*(F17+2*G17)</f>
        <v>58.410000000000004</v>
      </c>
      <c r="R17" s="126">
        <f t="shared" si="6"/>
        <v>58.410000000000004</v>
      </c>
      <c r="S17" s="126">
        <f t="shared" si="7"/>
        <v>37.29</v>
      </c>
      <c r="T17" s="126">
        <f t="shared" si="8"/>
        <v>37.29</v>
      </c>
      <c r="U17" s="129"/>
      <c r="V17" s="128"/>
      <c r="W17" s="122"/>
      <c r="X17" s="122"/>
      <c r="Y17" s="122"/>
      <c r="Z17" s="122"/>
      <c r="AA17" s="122"/>
      <c r="AB17" s="122"/>
      <c r="AC17" s="122"/>
      <c r="AD17" s="122"/>
      <c r="AE17" s="122"/>
      <c r="AF17" s="122"/>
      <c r="AG17" s="122"/>
    </row>
    <row r="18" spans="1:33" x14ac:dyDescent="0.25">
      <c r="A18" s="122"/>
      <c r="B18" s="116" t="s">
        <v>146</v>
      </c>
      <c r="C18" s="125">
        <f t="shared" si="0"/>
        <v>3</v>
      </c>
      <c r="D18" s="124">
        <v>0</v>
      </c>
      <c r="E18" s="124">
        <v>3</v>
      </c>
      <c r="F18" s="124">
        <v>1.25</v>
      </c>
      <c r="G18" s="124">
        <v>1.06</v>
      </c>
      <c r="H18" s="126">
        <f t="shared" si="1"/>
        <v>1.3250000000000002</v>
      </c>
      <c r="I18" s="126">
        <f t="shared" si="2"/>
        <v>3.9750000000000005</v>
      </c>
      <c r="J18" s="127">
        <f t="shared" si="3"/>
        <v>0</v>
      </c>
      <c r="K18" s="126">
        <f>(F18*2+G18*2)*E18</f>
        <v>13.86</v>
      </c>
      <c r="L18" s="126">
        <f t="shared" si="9"/>
        <v>0</v>
      </c>
      <c r="M18" s="126">
        <f>K18*M3</f>
        <v>3.4649999999999999</v>
      </c>
      <c r="N18" s="126">
        <f>L18*N3</f>
        <v>0</v>
      </c>
      <c r="O18" s="126">
        <f>F18*D18</f>
        <v>0</v>
      </c>
      <c r="P18" s="126">
        <f>E18*F18*1.05</f>
        <v>3.9375</v>
      </c>
      <c r="Q18" s="126">
        <f>E18*(F18+2*G18)</f>
        <v>10.11</v>
      </c>
      <c r="R18" s="126">
        <f t="shared" si="6"/>
        <v>10.11</v>
      </c>
      <c r="S18" s="126">
        <f t="shared" si="7"/>
        <v>3.75</v>
      </c>
      <c r="T18" s="126">
        <f t="shared" si="8"/>
        <v>3.75</v>
      </c>
      <c r="U18" s="129"/>
      <c r="V18" s="122"/>
      <c r="W18" s="122"/>
      <c r="X18" s="122"/>
      <c r="Y18" s="122"/>
      <c r="Z18" s="122"/>
      <c r="AA18" s="122"/>
      <c r="AB18" s="122"/>
      <c r="AC18" s="122"/>
      <c r="AD18" s="122"/>
      <c r="AE18" s="122"/>
      <c r="AF18" s="122"/>
      <c r="AG18" s="122"/>
    </row>
    <row r="19" spans="1:33" x14ac:dyDescent="0.25">
      <c r="A19" s="122"/>
      <c r="B19" s="116" t="s">
        <v>147</v>
      </c>
      <c r="C19" s="125">
        <f t="shared" si="0"/>
        <v>0</v>
      </c>
      <c r="D19" s="124">
        <v>3</v>
      </c>
      <c r="E19" s="124">
        <v>3</v>
      </c>
      <c r="F19" s="124">
        <v>0.9</v>
      </c>
      <c r="G19" s="124">
        <v>0.35</v>
      </c>
      <c r="H19" s="126">
        <f t="shared" si="1"/>
        <v>0.315</v>
      </c>
      <c r="I19" s="126">
        <f t="shared" si="2"/>
        <v>0</v>
      </c>
      <c r="J19" s="127">
        <f t="shared" si="3"/>
        <v>0.94500000000000006</v>
      </c>
      <c r="K19" s="126">
        <f>(F19*2+G19*2)*E19</f>
        <v>7.5</v>
      </c>
      <c r="L19" s="126">
        <f t="shared" si="9"/>
        <v>7.5</v>
      </c>
      <c r="M19" s="126">
        <f>K19*M3</f>
        <v>1.875</v>
      </c>
      <c r="N19" s="126">
        <f>L19*N3</f>
        <v>2.25</v>
      </c>
      <c r="O19" s="126">
        <f>F19*D19</f>
        <v>2.7</v>
      </c>
      <c r="P19" s="126">
        <f>E19*F19*1.05</f>
        <v>2.8350000000000004</v>
      </c>
      <c r="Q19" s="126">
        <f>E19*(F19+2*G19)</f>
        <v>4.8000000000000007</v>
      </c>
      <c r="R19" s="126">
        <f t="shared" si="6"/>
        <v>4.8000000000000007</v>
      </c>
      <c r="S19" s="126">
        <f t="shared" si="7"/>
        <v>2.7</v>
      </c>
      <c r="T19" s="126">
        <f t="shared" si="8"/>
        <v>2.7</v>
      </c>
      <c r="U19" s="129"/>
      <c r="V19"/>
      <c r="W19" s="122"/>
      <c r="X19" s="122"/>
      <c r="Y19" s="122"/>
      <c r="Z19" s="122"/>
      <c r="AA19" s="122"/>
      <c r="AB19" s="122"/>
      <c r="AC19" s="122"/>
      <c r="AD19" s="122"/>
      <c r="AE19" s="122"/>
      <c r="AF19" s="122"/>
      <c r="AG19" s="122"/>
    </row>
    <row r="20" spans="1:33" x14ac:dyDescent="0.25">
      <c r="A20" s="122"/>
      <c r="B20" s="116" t="s">
        <v>148</v>
      </c>
      <c r="C20" s="125">
        <f t="shared" si="0"/>
        <v>0</v>
      </c>
      <c r="D20" s="124">
        <v>3</v>
      </c>
      <c r="E20" s="124">
        <v>3</v>
      </c>
      <c r="F20" s="124">
        <v>0.9</v>
      </c>
      <c r="G20" s="124">
        <v>2</v>
      </c>
      <c r="H20" s="126">
        <f t="shared" si="1"/>
        <v>1.8</v>
      </c>
      <c r="I20" s="126">
        <f t="shared" si="2"/>
        <v>0</v>
      </c>
      <c r="J20" s="127">
        <f t="shared" si="3"/>
        <v>5.4</v>
      </c>
      <c r="K20" s="126">
        <f>(F20*2+G20*2)*E20</f>
        <v>17.399999999999999</v>
      </c>
      <c r="L20" s="126">
        <f t="shared" si="9"/>
        <v>17.399999999999999</v>
      </c>
      <c r="M20" s="126">
        <f>K20*M3</f>
        <v>4.3499999999999996</v>
      </c>
      <c r="N20" s="126">
        <f>L20*N3</f>
        <v>5.22</v>
      </c>
      <c r="O20" s="126"/>
      <c r="P20" s="126"/>
      <c r="Q20" s="126">
        <f>E20*(F20+2*G20)</f>
        <v>14.700000000000001</v>
      </c>
      <c r="R20" s="126">
        <f t="shared" si="6"/>
        <v>14.700000000000001</v>
      </c>
      <c r="S20" s="126">
        <f t="shared" si="7"/>
        <v>2.7</v>
      </c>
      <c r="T20" s="126">
        <f t="shared" si="8"/>
        <v>2.7</v>
      </c>
      <c r="U20" s="129"/>
      <c r="V20"/>
      <c r="W20" s="122"/>
      <c r="X20" s="122"/>
      <c r="Y20" s="122"/>
      <c r="Z20" s="122"/>
      <c r="AA20" s="122"/>
      <c r="AB20" s="122"/>
      <c r="AC20" s="122"/>
      <c r="AD20" s="122"/>
      <c r="AE20" s="122"/>
      <c r="AF20" s="122"/>
      <c r="AG20" s="122"/>
    </row>
    <row r="21" spans="1:33" x14ac:dyDescent="0.25">
      <c r="A21" s="122"/>
      <c r="B21" s="116" t="s">
        <v>149</v>
      </c>
      <c r="C21" s="125">
        <f t="shared" si="0"/>
        <v>27</v>
      </c>
      <c r="D21" s="124">
        <v>0</v>
      </c>
      <c r="E21" s="124">
        <v>27</v>
      </c>
      <c r="F21" s="130">
        <v>2.34</v>
      </c>
      <c r="G21" s="124">
        <v>1.43</v>
      </c>
      <c r="H21" s="126">
        <f t="shared" si="1"/>
        <v>3.3461999999999996</v>
      </c>
      <c r="I21" s="126">
        <f t="shared" si="2"/>
        <v>90.347399999999993</v>
      </c>
      <c r="J21" s="127">
        <f t="shared" si="3"/>
        <v>0</v>
      </c>
      <c r="K21" s="126">
        <f>(F21*2+G21*2)*E21</f>
        <v>203.57999999999998</v>
      </c>
      <c r="L21" s="126">
        <f t="shared" si="9"/>
        <v>0</v>
      </c>
      <c r="M21" s="126">
        <f>K21*M3</f>
        <v>50.894999999999996</v>
      </c>
      <c r="N21" s="126">
        <f>L21*N3</f>
        <v>0</v>
      </c>
      <c r="O21" s="126">
        <f>F21*D21</f>
        <v>0</v>
      </c>
      <c r="P21" s="126">
        <f>E21*F21*1.05</f>
        <v>66.338999999999999</v>
      </c>
      <c r="Q21" s="126">
        <f>E21*(F21+2*G21)</f>
        <v>140.39999999999998</v>
      </c>
      <c r="R21" s="126">
        <f t="shared" si="6"/>
        <v>140.39999999999998</v>
      </c>
      <c r="S21" s="126">
        <f t="shared" si="7"/>
        <v>63.179999999999993</v>
      </c>
      <c r="T21" s="126">
        <f t="shared" si="8"/>
        <v>63.179999999999993</v>
      </c>
      <c r="U21" s="119"/>
      <c r="V21"/>
      <c r="W21" s="122"/>
      <c r="X21" s="122"/>
      <c r="Y21" s="122"/>
      <c r="Z21" s="122"/>
      <c r="AA21" s="122"/>
      <c r="AB21" s="122"/>
      <c r="AC21" s="122"/>
      <c r="AD21" s="122"/>
      <c r="AE21" s="122"/>
      <c r="AF21" s="122"/>
      <c r="AG21" s="122"/>
    </row>
    <row r="22" spans="1:33" x14ac:dyDescent="0.25">
      <c r="A22" s="122"/>
      <c r="B22" s="116" t="s">
        <v>150</v>
      </c>
      <c r="C22" s="125">
        <f>C21</f>
        <v>27</v>
      </c>
      <c r="D22" s="125">
        <f>D21</f>
        <v>0</v>
      </c>
      <c r="E22" s="125">
        <f>E21</f>
        <v>27</v>
      </c>
      <c r="F22" s="124">
        <v>0.75</v>
      </c>
      <c r="G22" s="124">
        <v>2.2000000000000002</v>
      </c>
      <c r="H22" s="126">
        <f t="shared" si="1"/>
        <v>1.6500000000000001</v>
      </c>
      <c r="I22" s="126">
        <f t="shared" si="2"/>
        <v>44.550000000000004</v>
      </c>
      <c r="J22" s="127">
        <f t="shared" si="3"/>
        <v>0</v>
      </c>
      <c r="K22" s="126">
        <f>(F22*2+G22*2)*E22-(E21*G21*2)</f>
        <v>82.080000000000013</v>
      </c>
      <c r="L22" s="126">
        <f t="shared" si="9"/>
        <v>0</v>
      </c>
      <c r="M22" s="126">
        <f>K22*M3</f>
        <v>20.520000000000003</v>
      </c>
      <c r="N22" s="126">
        <f>L22*N3</f>
        <v>0</v>
      </c>
      <c r="O22" s="126"/>
      <c r="P22" s="126"/>
      <c r="Q22" s="126">
        <f>E22*(F22+2*G22)-(E21*G21*2)</f>
        <v>61.830000000000013</v>
      </c>
      <c r="R22" s="126">
        <f t="shared" si="6"/>
        <v>61.830000000000013</v>
      </c>
      <c r="S22" s="126">
        <f t="shared" si="7"/>
        <v>20.25</v>
      </c>
      <c r="T22" s="126">
        <f t="shared" si="8"/>
        <v>20.25</v>
      </c>
      <c r="U22" s="119"/>
      <c r="V22"/>
      <c r="W22" s="122"/>
      <c r="X22" s="122"/>
      <c r="Y22" s="122"/>
      <c r="Z22" s="122"/>
      <c r="AA22" s="122"/>
      <c r="AB22" s="122"/>
      <c r="AC22" s="122"/>
      <c r="AD22" s="122"/>
      <c r="AE22" s="122"/>
      <c r="AF22" s="122"/>
      <c r="AG22" s="122"/>
    </row>
    <row r="23" spans="1:33" x14ac:dyDescent="0.25">
      <c r="A23" s="122"/>
      <c r="B23" s="116" t="s">
        <v>151</v>
      </c>
      <c r="C23" s="125">
        <f>E23-D23</f>
        <v>0</v>
      </c>
      <c r="D23" s="124">
        <v>3</v>
      </c>
      <c r="E23" s="124">
        <v>3</v>
      </c>
      <c r="F23" s="124">
        <v>0.9</v>
      </c>
      <c r="G23" s="124">
        <v>2</v>
      </c>
      <c r="H23" s="126">
        <f t="shared" si="1"/>
        <v>1.8</v>
      </c>
      <c r="I23" s="126">
        <f t="shared" si="2"/>
        <v>0</v>
      </c>
      <c r="J23" s="127">
        <f t="shared" si="3"/>
        <v>5.4</v>
      </c>
      <c r="K23" s="126">
        <f>(F23*2+G23*2)*E23</f>
        <v>17.399999999999999</v>
      </c>
      <c r="L23" s="126">
        <f t="shared" si="9"/>
        <v>17.399999999999999</v>
      </c>
      <c r="M23" s="126">
        <f>K23*M3</f>
        <v>4.3499999999999996</v>
      </c>
      <c r="N23" s="126">
        <f>L23*N3</f>
        <v>5.22</v>
      </c>
      <c r="O23" s="126"/>
      <c r="P23" s="126"/>
      <c r="Q23" s="126">
        <f>E23*(F23+2*G23)</f>
        <v>14.700000000000001</v>
      </c>
      <c r="R23" s="126">
        <f t="shared" si="6"/>
        <v>14.700000000000001</v>
      </c>
      <c r="S23" s="126">
        <f t="shared" si="7"/>
        <v>2.7</v>
      </c>
      <c r="T23" s="126">
        <f t="shared" si="8"/>
        <v>2.7</v>
      </c>
      <c r="U23" s="129"/>
      <c r="V23"/>
      <c r="W23" s="122"/>
      <c r="X23" s="122"/>
      <c r="Y23" s="122"/>
      <c r="Z23" s="122"/>
      <c r="AA23" s="122"/>
      <c r="AB23" s="122"/>
      <c r="AC23" s="122"/>
      <c r="AD23" s="122"/>
      <c r="AE23" s="122"/>
      <c r="AF23" s="122"/>
      <c r="AG23" s="122"/>
    </row>
    <row r="24" spans="1:33" x14ac:dyDescent="0.25">
      <c r="A24" s="122"/>
      <c r="B24" s="116" t="s">
        <v>152</v>
      </c>
      <c r="C24" s="125">
        <f>E24-D24</f>
        <v>3</v>
      </c>
      <c r="D24" s="124">
        <v>0</v>
      </c>
      <c r="E24" s="124">
        <v>3</v>
      </c>
      <c r="F24" s="124">
        <v>1.84</v>
      </c>
      <c r="G24" s="124">
        <v>2</v>
      </c>
      <c r="H24" s="126">
        <f t="shared" si="1"/>
        <v>3.68</v>
      </c>
      <c r="I24" s="126">
        <f t="shared" si="2"/>
        <v>11.040000000000001</v>
      </c>
      <c r="J24" s="127">
        <f t="shared" si="3"/>
        <v>0</v>
      </c>
      <c r="K24" s="126">
        <f>(F24*2+G24*2)*E24</f>
        <v>23.04</v>
      </c>
      <c r="L24" s="126">
        <f t="shared" si="9"/>
        <v>0</v>
      </c>
      <c r="M24" s="126">
        <f>K24*M3</f>
        <v>5.76</v>
      </c>
      <c r="N24" s="126">
        <f>L24*N3</f>
        <v>0</v>
      </c>
      <c r="O24" s="126"/>
      <c r="P24" s="126"/>
      <c r="Q24" s="126">
        <f>E24*(F24+2*G24)</f>
        <v>17.52</v>
      </c>
      <c r="R24" s="126">
        <f t="shared" si="6"/>
        <v>17.52</v>
      </c>
      <c r="S24" s="126">
        <f t="shared" si="7"/>
        <v>5.5200000000000005</v>
      </c>
      <c r="T24" s="126">
        <f t="shared" si="8"/>
        <v>5.5200000000000005</v>
      </c>
      <c r="U24" s="129"/>
      <c r="V24"/>
      <c r="W24" s="122"/>
      <c r="X24" s="122"/>
      <c r="Y24" s="122"/>
      <c r="Z24" s="122"/>
      <c r="AA24" s="122"/>
      <c r="AB24" s="122"/>
      <c r="AC24" s="122"/>
      <c r="AD24" s="122"/>
      <c r="AE24" s="122"/>
      <c r="AF24" s="122"/>
      <c r="AG24" s="122"/>
    </row>
    <row r="25" spans="1:33" x14ac:dyDescent="0.25">
      <c r="A25" s="122"/>
      <c r="B25" s="116" t="s">
        <v>153</v>
      </c>
      <c r="C25" s="125">
        <v>3</v>
      </c>
      <c r="D25" s="124">
        <v>0</v>
      </c>
      <c r="E25" s="124">
        <v>3</v>
      </c>
      <c r="F25" s="124">
        <v>1.21</v>
      </c>
      <c r="G25" s="124">
        <v>2</v>
      </c>
      <c r="H25" s="126">
        <f t="shared" si="1"/>
        <v>2.42</v>
      </c>
      <c r="I25" s="126">
        <f t="shared" si="2"/>
        <v>7.26</v>
      </c>
      <c r="J25" s="127">
        <f t="shared" si="3"/>
        <v>0</v>
      </c>
      <c r="K25" s="126">
        <f>(F25*2+G25*2)*E25</f>
        <v>19.259999999999998</v>
      </c>
      <c r="L25" s="126">
        <f t="shared" si="9"/>
        <v>0</v>
      </c>
      <c r="M25" s="126">
        <f>K25*M3</f>
        <v>4.8149999999999995</v>
      </c>
      <c r="N25" s="126">
        <f>L25*N3</f>
        <v>0</v>
      </c>
      <c r="O25" s="126"/>
      <c r="P25" s="126"/>
      <c r="Q25" s="126">
        <f>E25*(F25+2*G25)</f>
        <v>15.629999999999999</v>
      </c>
      <c r="R25" s="126">
        <f t="shared" si="6"/>
        <v>15.629999999999999</v>
      </c>
      <c r="S25" s="126">
        <f t="shared" si="7"/>
        <v>3.63</v>
      </c>
      <c r="T25" s="126">
        <f t="shared" si="8"/>
        <v>3.63</v>
      </c>
      <c r="U25" s="129"/>
      <c r="V25" s="113" t="s">
        <v>154</v>
      </c>
      <c r="W25" s="122"/>
      <c r="X25" s="122"/>
      <c r="Y25" s="122"/>
      <c r="Z25" s="122"/>
      <c r="AA25" s="122"/>
      <c r="AB25" s="113" t="s">
        <v>155</v>
      </c>
      <c r="AC25" s="122"/>
      <c r="AD25" s="122"/>
      <c r="AE25" s="122"/>
      <c r="AF25" s="122"/>
      <c r="AG25" s="122"/>
    </row>
    <row r="26" spans="1:33" x14ac:dyDescent="0.25">
      <c r="A26" s="122"/>
      <c r="B26" s="116" t="s">
        <v>156</v>
      </c>
      <c r="C26" s="125">
        <f>E26-D26</f>
        <v>0</v>
      </c>
      <c r="D26" s="124">
        <v>33</v>
      </c>
      <c r="E26" s="124">
        <v>33</v>
      </c>
      <c r="F26" s="124">
        <v>0.16</v>
      </c>
      <c r="G26" s="124">
        <v>0.16</v>
      </c>
      <c r="H26" s="126">
        <f t="shared" si="1"/>
        <v>2.5600000000000001E-2</v>
      </c>
      <c r="I26" s="126">
        <f t="shared" si="2"/>
        <v>0</v>
      </c>
      <c r="J26" s="127">
        <f t="shared" si="3"/>
        <v>0.8448</v>
      </c>
      <c r="K26" s="126">
        <f>(F26*2+G26*2)*E26</f>
        <v>21.12</v>
      </c>
      <c r="L26" s="126">
        <f t="shared" si="9"/>
        <v>21.12</v>
      </c>
      <c r="M26" s="126">
        <f>K26*M3</f>
        <v>5.28</v>
      </c>
      <c r="N26" s="126">
        <f>L26*N3</f>
        <v>6.3360000000000003</v>
      </c>
      <c r="O26" s="126"/>
      <c r="P26" s="126"/>
      <c r="Q26" s="126">
        <f>E26*(F26+2*G26)</f>
        <v>15.84</v>
      </c>
      <c r="R26" s="126">
        <f t="shared" si="6"/>
        <v>15.84</v>
      </c>
      <c r="S26" s="126">
        <f t="shared" si="7"/>
        <v>5.28</v>
      </c>
      <c r="T26" s="126">
        <f t="shared" si="8"/>
        <v>5.28</v>
      </c>
      <c r="U26" s="129"/>
      <c r="V26"/>
      <c r="W26" s="122"/>
      <c r="X26" s="122"/>
      <c r="Y26" s="113" t="s">
        <v>157</v>
      </c>
      <c r="Z26" s="122"/>
      <c r="AA26" s="122"/>
      <c r="AB26" s="122" t="s">
        <v>158</v>
      </c>
      <c r="AC26" s="122"/>
      <c r="AD26" s="122"/>
      <c r="AE26" s="122"/>
      <c r="AF26" s="122"/>
      <c r="AG26" s="122"/>
    </row>
    <row r="27" spans="1:33" x14ac:dyDescent="0.25">
      <c r="A27"/>
      <c r="B27" s="131"/>
      <c r="C27" s="132"/>
      <c r="D27" s="133"/>
      <c r="E27" s="134">
        <f>SUM(E4:E26)</f>
        <v>604</v>
      </c>
      <c r="F27" s="133"/>
      <c r="G27" s="133"/>
      <c r="H27" s="133"/>
      <c r="I27" s="134"/>
      <c r="J27" s="134">
        <f t="shared" ref="J27:T27" si="10">SUM(J4:J26)</f>
        <v>225.79179999999999</v>
      </c>
      <c r="K27" s="134">
        <f t="shared" si="10"/>
        <v>2973.4600000000005</v>
      </c>
      <c r="L27" s="134">
        <f t="shared" si="10"/>
        <v>585.09999999999991</v>
      </c>
      <c r="M27" s="134">
        <f t="shared" si="10"/>
        <v>743.36500000000012</v>
      </c>
      <c r="N27" s="134">
        <f t="shared" si="10"/>
        <v>175.53</v>
      </c>
      <c r="O27" s="134">
        <f t="shared" si="10"/>
        <v>124.10000000000001</v>
      </c>
      <c r="P27" s="134">
        <f t="shared" si="10"/>
        <v>697.03199999999993</v>
      </c>
      <c r="Q27" s="134">
        <f t="shared" si="10"/>
        <v>2161.54</v>
      </c>
      <c r="R27" s="134">
        <f t="shared" si="10"/>
        <v>2161.54</v>
      </c>
      <c r="S27" s="134">
        <f t="shared" si="10"/>
        <v>811.92000000000007</v>
      </c>
      <c r="T27" s="134">
        <f t="shared" si="10"/>
        <v>811.92000000000007</v>
      </c>
      <c r="U27" s="135">
        <v>105</v>
      </c>
      <c r="V27" s="122"/>
      <c r="W27" s="122"/>
      <c r="X27" s="122"/>
      <c r="Y27" s="122"/>
      <c r="Z27" s="122"/>
      <c r="AA27" s="122"/>
      <c r="AB27" s="122"/>
      <c r="AC27" s="122"/>
      <c r="AD27" s="122"/>
      <c r="AE27" s="122"/>
      <c r="AF27" s="122"/>
      <c r="AG27" s="122"/>
    </row>
    <row r="28" spans="1:33" x14ac:dyDescent="0.25">
      <c r="A28" s="136"/>
      <c r="B28" s="137" t="s">
        <v>159</v>
      </c>
      <c r="C28"/>
      <c r="D28"/>
      <c r="E28" s="138"/>
      <c r="F28"/>
      <c r="G28"/>
      <c r="H28"/>
      <c r="I28"/>
      <c r="J28"/>
      <c r="K28"/>
      <c r="L28"/>
      <c r="M28"/>
      <c r="N28"/>
      <c r="O28"/>
      <c r="P28"/>
      <c r="Q28"/>
      <c r="R28"/>
      <c r="S28"/>
      <c r="T28"/>
      <c r="V28" s="122"/>
      <c r="W28" s="122"/>
      <c r="X28" s="122"/>
      <c r="Y28" s="122"/>
      <c r="Z28" s="122"/>
      <c r="AA28" s="122"/>
      <c r="AB28" s="122"/>
      <c r="AC28" s="122"/>
      <c r="AD28" s="122"/>
      <c r="AE28" s="122"/>
      <c r="AF28" s="122"/>
      <c r="AG28" s="122"/>
    </row>
    <row r="29" spans="1:33" x14ac:dyDescent="0.25">
      <c r="A29" s="139" t="s">
        <v>160</v>
      </c>
      <c r="B29" s="140" t="s">
        <v>161</v>
      </c>
      <c r="C29" s="141"/>
      <c r="D29" s="140" t="s">
        <v>162</v>
      </c>
      <c r="E29" s="142"/>
      <c r="F29"/>
      <c r="G29"/>
      <c r="H29"/>
      <c r="I29"/>
      <c r="J29"/>
      <c r="K29"/>
      <c r="L29"/>
      <c r="M29"/>
      <c r="N29"/>
      <c r="O29"/>
      <c r="P29"/>
      <c r="Q29"/>
      <c r="R29"/>
      <c r="S29"/>
      <c r="T29"/>
      <c r="V29" s="122"/>
      <c r="W29" s="122"/>
      <c r="X29" s="122"/>
      <c r="Y29" s="122"/>
      <c r="Z29" s="122"/>
      <c r="AA29" s="122"/>
      <c r="AB29" s="122"/>
      <c r="AC29" s="122"/>
      <c r="AD29" s="122"/>
      <c r="AE29" s="122"/>
      <c r="AF29" s="122"/>
      <c r="AG29" s="122"/>
    </row>
    <row r="30" spans="1:33" x14ac:dyDescent="0.25">
      <c r="A30" s="139"/>
      <c r="B30" s="143" t="s">
        <v>163</v>
      </c>
      <c r="C30" s="141"/>
      <c r="D30" s="140"/>
      <c r="E30" s="142" t="s">
        <v>164</v>
      </c>
      <c r="F30"/>
      <c r="G30"/>
      <c r="H30"/>
      <c r="I30"/>
      <c r="J30"/>
      <c r="K30"/>
      <c r="L30"/>
      <c r="M30"/>
      <c r="N30"/>
      <c r="O30"/>
      <c r="P30"/>
      <c r="Q30"/>
      <c r="R30"/>
      <c r="S30"/>
      <c r="T30"/>
      <c r="V30" s="122"/>
      <c r="W30" s="122"/>
      <c r="X30" s="122"/>
      <c r="Y30" s="122"/>
      <c r="Z30" s="122"/>
      <c r="AA30" s="122"/>
      <c r="AB30" s="122"/>
      <c r="AC30" s="122"/>
      <c r="AD30" s="122"/>
      <c r="AE30" s="122"/>
      <c r="AF30" s="122"/>
      <c r="AG30" s="122"/>
    </row>
    <row r="31" spans="1:33" ht="45" x14ac:dyDescent="0.25">
      <c r="A31" s="144" t="s">
        <v>165</v>
      </c>
      <c r="B31" s="145" t="s">
        <v>166</v>
      </c>
      <c r="C31" s="146" t="s">
        <v>81</v>
      </c>
      <c r="D31" s="147">
        <v>3030</v>
      </c>
      <c r="E31" s="142" t="s">
        <v>167</v>
      </c>
      <c r="F31" s="148" t="s">
        <v>168</v>
      </c>
      <c r="G31"/>
      <c r="H31" s="147">
        <v>3030</v>
      </c>
      <c r="I31" s="149" t="s">
        <v>169</v>
      </c>
      <c r="J31"/>
      <c r="K31"/>
      <c r="L31"/>
      <c r="M31"/>
      <c r="N31"/>
      <c r="O31"/>
      <c r="P31"/>
      <c r="Q31"/>
      <c r="R31"/>
      <c r="S31"/>
      <c r="T31"/>
      <c r="V31" s="122"/>
      <c r="W31" s="122"/>
      <c r="X31" s="122"/>
      <c r="Y31" s="122"/>
      <c r="Z31" s="122"/>
      <c r="AA31" s="122"/>
      <c r="AB31" s="122"/>
      <c r="AC31" s="122"/>
      <c r="AD31" s="122"/>
      <c r="AE31" s="122"/>
      <c r="AF31" s="122"/>
      <c r="AG31" s="122"/>
    </row>
    <row r="32" spans="1:33" ht="56.25" x14ac:dyDescent="0.25">
      <c r="A32" s="144" t="s">
        <v>170</v>
      </c>
      <c r="B32" s="145" t="s">
        <v>171</v>
      </c>
      <c r="C32" s="146" t="s">
        <v>81</v>
      </c>
      <c r="D32" s="117">
        <v>345</v>
      </c>
      <c r="E32" s="142" t="str">
        <f>E31</f>
        <v>AS1</v>
      </c>
      <c r="F32" s="142">
        <f>155*1.5</f>
        <v>232.5</v>
      </c>
      <c r="G32"/>
      <c r="H32" s="147"/>
      <c r="I32" s="147"/>
      <c r="J32"/>
      <c r="K32"/>
      <c r="L32"/>
      <c r="M32"/>
      <c r="N32"/>
      <c r="O32"/>
      <c r="P32"/>
      <c r="Q32"/>
      <c r="R32"/>
      <c r="S32"/>
      <c r="T32"/>
      <c r="V32" s="122"/>
      <c r="W32" s="122"/>
      <c r="X32" s="122"/>
      <c r="Y32" s="122"/>
      <c r="Z32" s="122"/>
      <c r="AA32" s="122"/>
      <c r="AB32" s="122"/>
      <c r="AC32" s="122"/>
      <c r="AD32" s="122"/>
      <c r="AE32" s="122"/>
      <c r="AF32" s="122"/>
      <c r="AG32" s="122"/>
    </row>
    <row r="33" spans="1:33" ht="60.75" customHeight="1" x14ac:dyDescent="0.25">
      <c r="A33" s="144" t="s">
        <v>172</v>
      </c>
      <c r="B33" s="145" t="s">
        <v>173</v>
      </c>
      <c r="C33" s="146" t="s">
        <v>81</v>
      </c>
      <c r="D33" s="147">
        <f>1.1*3*9*15+0.21*7*24.4</f>
        <v>481.36800000000005</v>
      </c>
      <c r="E33" s="142" t="str">
        <f>E32</f>
        <v>AS1</v>
      </c>
      <c r="F33"/>
      <c r="G33"/>
      <c r="H33" s="147">
        <f>1.1*3*9*15+0.21*7*24.4</f>
        <v>481.36800000000005</v>
      </c>
      <c r="I33" s="292" t="s">
        <v>174</v>
      </c>
      <c r="J33" s="292"/>
      <c r="K33" s="292"/>
      <c r="L33" s="292"/>
      <c r="M33" s="292"/>
      <c r="N33" s="292"/>
      <c r="O33" s="292"/>
      <c r="P33" s="292"/>
      <c r="Q33" s="292"/>
      <c r="R33" s="292"/>
      <c r="S33" s="292"/>
      <c r="T33" s="292"/>
      <c r="V33"/>
      <c r="W33"/>
      <c r="X33"/>
      <c r="Y33"/>
      <c r="Z33"/>
      <c r="AA33"/>
      <c r="AB33"/>
      <c r="AC33"/>
      <c r="AD33"/>
      <c r="AE33"/>
      <c r="AF33"/>
      <c r="AG33"/>
    </row>
    <row r="34" spans="1:33" ht="40.5" customHeight="1" x14ac:dyDescent="0.25">
      <c r="A34" s="144" t="s">
        <v>175</v>
      </c>
      <c r="B34" s="145" t="s">
        <v>176</v>
      </c>
      <c r="C34" s="146" t="s">
        <v>81</v>
      </c>
      <c r="D34" s="147">
        <f>1.1*3*9*5</f>
        <v>148.5</v>
      </c>
      <c r="E34" s="142"/>
      <c r="F34"/>
      <c r="G34" s="150"/>
      <c r="H34" s="147">
        <f>1.1*3*9*5</f>
        <v>148.5</v>
      </c>
      <c r="I34" s="292" t="s">
        <v>177</v>
      </c>
      <c r="J34" s="292"/>
      <c r="K34" s="292"/>
      <c r="L34" s="292"/>
      <c r="M34" s="292"/>
      <c r="N34" s="292"/>
      <c r="O34" s="292"/>
      <c r="P34" s="292"/>
      <c r="Q34" s="292"/>
      <c r="R34" s="292"/>
      <c r="S34" s="292"/>
      <c r="T34" s="292"/>
      <c r="V34"/>
      <c r="W34"/>
      <c r="X34"/>
      <c r="Y34"/>
      <c r="Z34"/>
      <c r="AA34"/>
      <c r="AB34"/>
      <c r="AC34"/>
      <c r="AD34"/>
      <c r="AE34"/>
      <c r="AF34"/>
      <c r="AG34"/>
    </row>
    <row r="35" spans="1:33" ht="50.65" customHeight="1" x14ac:dyDescent="0.25">
      <c r="A35" s="144" t="s">
        <v>178</v>
      </c>
      <c r="B35" s="145" t="s">
        <v>179</v>
      </c>
      <c r="C35" s="146" t="s">
        <v>81</v>
      </c>
      <c r="D35" s="147">
        <f>165*0.4+165*0.25</f>
        <v>107.25</v>
      </c>
      <c r="E35" s="142" t="str">
        <f>E33</f>
        <v>AS1</v>
      </c>
      <c r="F35"/>
      <c r="G35" s="150"/>
      <c r="H35" s="147">
        <f>165*0.4+165*0.25</f>
        <v>107.25</v>
      </c>
      <c r="I35" s="292" t="s">
        <v>180</v>
      </c>
      <c r="J35" s="292"/>
      <c r="K35" s="292"/>
      <c r="L35" s="292"/>
      <c r="M35" s="292"/>
      <c r="N35" s="292"/>
      <c r="O35" s="292"/>
      <c r="P35" s="292"/>
      <c r="Q35" s="292"/>
      <c r="R35" s="292"/>
      <c r="S35" s="292"/>
      <c r="T35" s="292"/>
      <c r="V35"/>
      <c r="W35"/>
      <c r="X35"/>
      <c r="Y35"/>
      <c r="Z35"/>
      <c r="AA35"/>
      <c r="AB35"/>
      <c r="AC35"/>
      <c r="AD35"/>
      <c r="AE35"/>
      <c r="AF35"/>
      <c r="AG35"/>
    </row>
    <row r="36" spans="1:33" x14ac:dyDescent="0.25">
      <c r="A36" s="151"/>
      <c r="B36" s="151"/>
      <c r="C36" s="152"/>
      <c r="D36" s="152"/>
      <c r="E36" s="142"/>
      <c r="F36" s="150"/>
      <c r="G36" s="150"/>
      <c r="H36" s="137"/>
      <c r="I36" s="137"/>
      <c r="J36" s="150"/>
      <c r="K36" s="150"/>
      <c r="L36" s="150"/>
      <c r="V36" s="122"/>
      <c r="W36" s="122"/>
      <c r="X36" s="122"/>
      <c r="Y36" s="122"/>
      <c r="Z36" s="122"/>
      <c r="AA36" s="122"/>
      <c r="AB36" s="122"/>
      <c r="AC36" s="122"/>
      <c r="AD36" s="122"/>
      <c r="AE36" s="122"/>
      <c r="AF36" s="122"/>
      <c r="AG36" s="122"/>
    </row>
    <row r="37" spans="1:33" ht="67.5" x14ac:dyDescent="0.25">
      <c r="A37" s="144" t="s">
        <v>181</v>
      </c>
      <c r="B37" s="153" t="s">
        <v>182</v>
      </c>
      <c r="C37" s="146" t="s">
        <v>81</v>
      </c>
      <c r="D37" s="117">
        <v>54</v>
      </c>
      <c r="E37" s="142"/>
      <c r="F37"/>
      <c r="G37" s="150"/>
      <c r="H37" s="137"/>
      <c r="I37" s="137"/>
      <c r="J37" s="150"/>
      <c r="K37" s="150"/>
      <c r="L37" s="150"/>
      <c r="V37" s="122"/>
      <c r="W37" s="122"/>
      <c r="X37" s="122"/>
      <c r="Y37" s="122"/>
      <c r="Z37" s="122"/>
      <c r="AA37" s="122"/>
      <c r="AB37" s="122"/>
      <c r="AC37" s="122"/>
      <c r="AD37" s="122"/>
      <c r="AE37" s="122"/>
      <c r="AF37" s="122"/>
      <c r="AG37" s="122"/>
    </row>
    <row r="38" spans="1:33" ht="33.75" x14ac:dyDescent="0.25">
      <c r="A38" s="144" t="s">
        <v>183</v>
      </c>
      <c r="B38" s="153" t="s">
        <v>184</v>
      </c>
      <c r="C38" s="146" t="s">
        <v>81</v>
      </c>
      <c r="D38" s="117">
        <v>550</v>
      </c>
      <c r="E38" s="142"/>
      <c r="F38" s="150"/>
      <c r="G38" s="150"/>
      <c r="H38" s="137"/>
      <c r="I38" s="137"/>
      <c r="J38" s="150"/>
      <c r="K38" s="150"/>
      <c r="L38" s="150"/>
      <c r="V38" s="122"/>
      <c r="W38" s="122"/>
      <c r="X38" s="122"/>
      <c r="Y38" s="122"/>
      <c r="Z38" s="122"/>
      <c r="AA38" s="122"/>
      <c r="AB38" s="122"/>
      <c r="AC38" s="122"/>
      <c r="AD38" s="122"/>
      <c r="AE38" s="122"/>
      <c r="AF38" s="122"/>
      <c r="AG38" s="122"/>
    </row>
    <row r="39" spans="1:33" ht="67.5" x14ac:dyDescent="0.25">
      <c r="A39" s="144" t="s">
        <v>185</v>
      </c>
      <c r="B39" s="153" t="s">
        <v>186</v>
      </c>
      <c r="C39" s="146" t="s">
        <v>81</v>
      </c>
      <c r="D39" s="117">
        <f>740</f>
        <v>740</v>
      </c>
      <c r="E39" s="141"/>
      <c r="F39" s="150"/>
      <c r="G39" s="150"/>
      <c r="H39" s="137"/>
      <c r="I39" s="137"/>
      <c r="J39" s="150"/>
      <c r="K39" s="150"/>
      <c r="L39" s="150"/>
      <c r="V39" s="122"/>
      <c r="W39" s="122"/>
      <c r="X39" s="122"/>
      <c r="Y39" s="122"/>
      <c r="Z39" s="122"/>
      <c r="AA39" s="122"/>
      <c r="AB39" s="122"/>
      <c r="AC39" s="122"/>
      <c r="AD39" s="122"/>
      <c r="AE39" s="122"/>
      <c r="AF39" s="122"/>
      <c r="AG39" s="122"/>
    </row>
    <row r="40" spans="1:33" x14ac:dyDescent="0.25">
      <c r="A40" s="144"/>
      <c r="B40" s="153"/>
      <c r="C40" s="117"/>
      <c r="D40" s="117"/>
      <c r="E40" s="141"/>
      <c r="F40" s="150"/>
      <c r="G40" s="150"/>
      <c r="H40" s="150"/>
      <c r="I40" s="150"/>
      <c r="J40" s="150"/>
      <c r="K40" s="150"/>
      <c r="L40" s="150"/>
      <c r="V40" s="122"/>
      <c r="W40" s="122"/>
      <c r="X40" s="122"/>
      <c r="Y40" s="122"/>
      <c r="Z40" s="122"/>
      <c r="AA40" s="122"/>
      <c r="AB40" s="122"/>
      <c r="AC40" s="122"/>
      <c r="AD40" s="122"/>
      <c r="AE40" s="122"/>
      <c r="AF40" s="122"/>
      <c r="AG40" s="122"/>
    </row>
  </sheetData>
  <mergeCells count="16">
    <mergeCell ref="I33:T33"/>
    <mergeCell ref="I34:T34"/>
    <mergeCell ref="I35:T35"/>
    <mergeCell ref="K1:L1"/>
    <mergeCell ref="M1:N1"/>
    <mergeCell ref="O1:P1"/>
    <mergeCell ref="Q1:U1"/>
    <mergeCell ref="B2:B3"/>
    <mergeCell ref="C2:E2"/>
    <mergeCell ref="F2:G2"/>
    <mergeCell ref="H2:J2"/>
    <mergeCell ref="Q2:Q3"/>
    <mergeCell ref="R2:R3"/>
    <mergeCell ref="S2:S3"/>
    <mergeCell ref="T2:T3"/>
    <mergeCell ref="U2:U3"/>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56" max="16383" man="1"/>
  </rowBreaks>
  <colBreaks count="1" manualBreakCount="1">
    <brk id="21"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MK71"/>
  <sheetViews>
    <sheetView zoomScaleNormal="100" workbookViewId="0">
      <selection activeCell="C48" sqref="C48"/>
    </sheetView>
  </sheetViews>
  <sheetFormatPr defaultRowHeight="15" x14ac:dyDescent="0.25"/>
  <cols>
    <col min="1" max="1" width="2.5703125" style="58"/>
    <col min="2" max="2" width="4.28515625" style="58"/>
    <col min="3" max="3" width="35.7109375" style="58"/>
    <col min="4" max="4" width="4.140625" style="58"/>
    <col min="5" max="6" width="3.5703125" style="17"/>
    <col min="7" max="7" width="3.5703125" style="58"/>
    <col min="8" max="8" width="5.5703125" style="58"/>
    <col min="9" max="9" width="0" style="58" hidden="1"/>
    <col min="10" max="10" width="4.28515625" style="58"/>
    <col min="11" max="15" width="8.7109375" style="58"/>
    <col min="16" max="16" width="7.5703125" style="58"/>
    <col min="17" max="17" width="11.85546875" style="58"/>
    <col min="18" max="20" width="0" style="58" hidden="1"/>
    <col min="21" max="1016" width="8.28515625" style="58"/>
    <col min="1017" max="1025" width="8.7109375" style="58"/>
  </cols>
  <sheetData>
    <row r="1" spans="1:1024" s="154" customFormat="1" ht="11.25" x14ac:dyDescent="0.2">
      <c r="A1" s="12" t="s">
        <v>31</v>
      </c>
      <c r="B1" s="12"/>
      <c r="C1" s="12"/>
      <c r="D1" s="12"/>
      <c r="E1" s="12"/>
      <c r="F1" s="12"/>
      <c r="G1" s="12"/>
      <c r="H1" s="12"/>
      <c r="I1" s="12"/>
      <c r="J1" s="12"/>
      <c r="K1" s="19">
        <v>2</v>
      </c>
      <c r="L1" s="19"/>
      <c r="M1" s="19"/>
      <c r="N1" s="19"/>
      <c r="O1" s="19"/>
      <c r="P1" s="19"/>
      <c r="Q1" s="19"/>
      <c r="R1" s="19"/>
      <c r="S1" s="19"/>
      <c r="T1" s="19"/>
    </row>
    <row r="2" spans="1:1024" s="157" customFormat="1" ht="11.25" x14ac:dyDescent="0.2">
      <c r="A2" s="21"/>
      <c r="B2" s="19"/>
      <c r="C2" s="155" t="s">
        <v>187</v>
      </c>
      <c r="D2" s="155"/>
      <c r="E2" s="62"/>
      <c r="F2" s="62"/>
      <c r="G2" s="19"/>
      <c r="H2" s="19"/>
      <c r="I2" s="19"/>
      <c r="J2" s="19"/>
      <c r="K2" s="156"/>
      <c r="L2" s="156"/>
      <c r="M2" s="156"/>
      <c r="N2" s="156"/>
      <c r="O2" s="156"/>
      <c r="P2" s="156"/>
      <c r="Q2" s="156"/>
      <c r="R2" s="156"/>
      <c r="S2" s="156"/>
      <c r="T2" s="156"/>
    </row>
    <row r="3" spans="1:1024" x14ac:dyDescent="0.25">
      <c r="A3" s="23" t="str">
        <f>KPDV!A3</f>
        <v>Būves nosaukums: Daudzdzīvokļu dzīvojamās mājas fasādes vienkāršotā atjaunošana</v>
      </c>
      <c r="B3" s="38"/>
      <c r="C3" s="38"/>
      <c r="D3" s="38"/>
      <c r="E3" s="37"/>
      <c r="F3" s="37"/>
      <c r="G3" s="38"/>
      <c r="H3" s="38"/>
      <c r="I3" s="38"/>
      <c r="J3" s="38"/>
      <c r="K3" s="38"/>
      <c r="L3" s="38"/>
      <c r="M3" s="38"/>
      <c r="N3" s="38"/>
      <c r="O3" s="38"/>
      <c r="P3" s="37"/>
      <c r="Q3" s="37"/>
      <c r="R3" s="37"/>
      <c r="S3" s="37"/>
      <c r="T3" s="156"/>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5">
      <c r="A4" s="23" t="str">
        <f>KPDV!A4</f>
        <v>Objekta nosaukums: Daudzdzīvokļu dzīvojamās mājas Ed. Tisē ielā 48, Liepājā, 
fasādes vienkāršotā atjaunošana</v>
      </c>
      <c r="B4" s="52"/>
      <c r="C4" s="52"/>
      <c r="D4" s="52"/>
      <c r="E4" s="158"/>
      <c r="F4" s="158"/>
      <c r="G4" s="52"/>
      <c r="H4" s="52"/>
      <c r="I4" s="52"/>
      <c r="J4" s="52"/>
      <c r="K4" s="52"/>
      <c r="L4" s="31"/>
      <c r="M4" s="31"/>
      <c r="N4" s="37"/>
      <c r="O4" s="37"/>
      <c r="P4" s="37"/>
      <c r="Q4" s="37"/>
      <c r="R4" s="37"/>
      <c r="S4" s="37"/>
      <c r="T4" s="156"/>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s="27" t="str">
        <f>KPDV!A5</f>
        <v>Objekta adrese: Tisē iela 48 Liepājā</v>
      </c>
      <c r="B5" s="31"/>
      <c r="C5" s="23"/>
      <c r="D5" s="23"/>
      <c r="E5" s="31"/>
      <c r="F5" s="31"/>
      <c r="G5" s="31"/>
      <c r="H5" s="52"/>
      <c r="I5" s="52"/>
      <c r="J5" s="31"/>
      <c r="K5" s="31"/>
      <c r="L5" s="31"/>
      <c r="M5" s="31"/>
      <c r="N5" s="37"/>
      <c r="O5" s="37"/>
      <c r="P5" s="37"/>
      <c r="Q5" s="37"/>
      <c r="R5" s="37"/>
      <c r="S5" s="37"/>
      <c r="T5" s="156"/>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27" t="str">
        <f>KPDV!A6</f>
        <v>Pasūtījuma Nr.WS-64-15</v>
      </c>
      <c r="B6" s="31"/>
      <c r="C6" s="23"/>
      <c r="D6" s="23"/>
      <c r="E6" s="31"/>
      <c r="F6" s="31"/>
      <c r="G6" s="31"/>
      <c r="H6" s="31"/>
      <c r="I6" s="31"/>
      <c r="J6" s="31"/>
      <c r="K6" s="31"/>
      <c r="L6" s="31"/>
      <c r="M6" s="31"/>
      <c r="N6" s="37"/>
      <c r="O6" s="37"/>
      <c r="P6" s="37"/>
      <c r="Q6" s="37"/>
      <c r="R6" s="37"/>
      <c r="S6" s="37"/>
      <c r="T6" s="15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27" t="str">
        <f>KPDV!A7</f>
        <v>Pasūtītājs: SIA "Liepājas namu apsaimniekotājs"</v>
      </c>
      <c r="B7" s="31"/>
      <c r="C7" s="23"/>
      <c r="D7" s="23"/>
      <c r="E7" s="31"/>
      <c r="F7" s="31"/>
      <c r="G7" s="31"/>
      <c r="H7" s="31"/>
      <c r="I7" s="31"/>
      <c r="J7" s="31"/>
      <c r="K7" s="31"/>
      <c r="L7" s="31"/>
      <c r="M7" s="31"/>
      <c r="N7" s="37"/>
      <c r="O7" s="37"/>
      <c r="P7" s="37"/>
      <c r="Q7" s="37"/>
      <c r="R7" s="37"/>
      <c r="S7" s="37"/>
      <c r="T7" s="156"/>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293" t="s">
        <v>33</v>
      </c>
      <c r="B8" s="293"/>
      <c r="C8" s="293"/>
      <c r="D8" s="293"/>
      <c r="E8" s="293"/>
      <c r="F8" s="293"/>
      <c r="G8" s="293"/>
      <c r="H8" s="62" t="s">
        <v>34</v>
      </c>
      <c r="I8" s="156"/>
      <c r="J8" s="294" t="s">
        <v>35</v>
      </c>
      <c r="K8" s="294"/>
      <c r="L8" s="294"/>
      <c r="M8" s="294"/>
      <c r="N8" s="104"/>
      <c r="O8" s="104"/>
      <c r="P8" s="104"/>
      <c r="Q8" s="104" t="s">
        <v>188</v>
      </c>
      <c r="R8" s="104"/>
      <c r="S8" s="159">
        <f>T65</f>
        <v>0</v>
      </c>
      <c r="T8" s="160" t="s">
        <v>189</v>
      </c>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5.1" customHeight="1" x14ac:dyDescent="0.25">
      <c r="A9" s="21"/>
      <c r="B9" s="156"/>
      <c r="C9" s="21"/>
      <c r="D9" s="21"/>
      <c r="E9" s="156"/>
      <c r="F9" s="156"/>
      <c r="G9" s="156"/>
      <c r="H9" s="156"/>
      <c r="I9" s="156"/>
      <c r="J9" s="156"/>
      <c r="K9" s="156"/>
      <c r="L9" s="156"/>
      <c r="M9" s="156"/>
      <c r="N9" s="156"/>
      <c r="O9" s="295" t="s">
        <v>190</v>
      </c>
      <c r="P9" s="295"/>
      <c r="Q9" s="295"/>
      <c r="R9" s="295"/>
      <c r="S9" s="295"/>
      <c r="T9" s="295"/>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4.25" customHeight="1" x14ac:dyDescent="0.25">
      <c r="A10" s="296" t="s">
        <v>37</v>
      </c>
      <c r="B10" s="8" t="s">
        <v>38</v>
      </c>
      <c r="C10" s="297" t="s">
        <v>39</v>
      </c>
      <c r="D10" s="297"/>
      <c r="E10" s="297"/>
      <c r="F10" s="297"/>
      <c r="G10" s="6" t="s">
        <v>40</v>
      </c>
      <c r="H10" s="8" t="s">
        <v>41</v>
      </c>
      <c r="I10" s="66">
        <v>1</v>
      </c>
      <c r="J10" s="5" t="s">
        <v>42</v>
      </c>
      <c r="K10" s="5"/>
      <c r="L10" s="5"/>
      <c r="M10" s="5"/>
      <c r="N10" s="5"/>
      <c r="O10" s="5"/>
      <c r="P10" s="5" t="s">
        <v>43</v>
      </c>
      <c r="Q10" s="5"/>
      <c r="R10" s="5"/>
      <c r="S10" s="5"/>
      <c r="T10" s="5"/>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4" x14ac:dyDescent="0.25">
      <c r="A11" s="296"/>
      <c r="B11" s="8"/>
      <c r="C11" s="297"/>
      <c r="D11" s="297"/>
      <c r="E11" s="297"/>
      <c r="F11" s="297"/>
      <c r="G11" s="6"/>
      <c r="H11" s="8"/>
      <c r="I11" s="67">
        <v>1</v>
      </c>
      <c r="J11" s="68" t="s">
        <v>44</v>
      </c>
      <c r="K11" s="69" t="s">
        <v>45</v>
      </c>
      <c r="L11" s="70" t="s">
        <v>46</v>
      </c>
      <c r="M11" s="70" t="s">
        <v>47</v>
      </c>
      <c r="N11" s="70" t="s">
        <v>48</v>
      </c>
      <c r="O11" s="71" t="s">
        <v>49</v>
      </c>
      <c r="P11" s="68" t="s">
        <v>50</v>
      </c>
      <c r="Q11" s="70" t="s">
        <v>46</v>
      </c>
      <c r="R11" s="70" t="s">
        <v>47</v>
      </c>
      <c r="S11" s="70" t="s">
        <v>48</v>
      </c>
      <c r="T11" s="71" t="s">
        <v>51</v>
      </c>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161">
        <v>1</v>
      </c>
      <c r="B12" s="72">
        <f>A12+1</f>
        <v>2</v>
      </c>
      <c r="C12" s="73">
        <f>B12+1</f>
        <v>3</v>
      </c>
      <c r="D12" s="73"/>
      <c r="E12" s="73"/>
      <c r="F12" s="73"/>
      <c r="G12" s="72">
        <f>C12+1</f>
        <v>4</v>
      </c>
      <c r="H12" s="72">
        <f>G12+1</f>
        <v>5</v>
      </c>
      <c r="I12" s="74">
        <v>1</v>
      </c>
      <c r="J12" s="75">
        <f>H12+1</f>
        <v>6</v>
      </c>
      <c r="K12" s="76">
        <f t="shared" ref="K12:T12" si="0">J12+1</f>
        <v>7</v>
      </c>
      <c r="L12" s="76">
        <f t="shared" si="0"/>
        <v>8</v>
      </c>
      <c r="M12" s="76">
        <f t="shared" si="0"/>
        <v>9</v>
      </c>
      <c r="N12" s="77">
        <f t="shared" si="0"/>
        <v>10</v>
      </c>
      <c r="O12" s="72">
        <f t="shared" si="0"/>
        <v>11</v>
      </c>
      <c r="P12" s="75">
        <f t="shared" si="0"/>
        <v>12</v>
      </c>
      <c r="Q12" s="76">
        <f t="shared" si="0"/>
        <v>13</v>
      </c>
      <c r="R12" s="76">
        <f t="shared" si="0"/>
        <v>14</v>
      </c>
      <c r="S12" s="76">
        <f t="shared" si="0"/>
        <v>15</v>
      </c>
      <c r="T12" s="77">
        <f t="shared" si="0"/>
        <v>16</v>
      </c>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33">
        <f>IF(COUNTBLANK(B13)=1," ",COUNTA(B13:B$13))</f>
        <v>1</v>
      </c>
      <c r="B13" s="78" t="s">
        <v>52</v>
      </c>
      <c r="C13" s="36" t="s">
        <v>191</v>
      </c>
      <c r="D13" s="162"/>
      <c r="E13" s="90"/>
      <c r="F13" s="90"/>
      <c r="G13" s="90" t="s">
        <v>60</v>
      </c>
      <c r="H13" s="82">
        <f>apjomi!J27</f>
        <v>225.79179999999999</v>
      </c>
      <c r="I13" s="79"/>
      <c r="J13" s="80"/>
      <c r="K13" s="80"/>
      <c r="L13" s="80"/>
      <c r="M13" s="80"/>
      <c r="N13" s="80"/>
      <c r="O13" s="80"/>
      <c r="P13" s="80"/>
      <c r="Q13" s="80"/>
      <c r="R13" s="80"/>
      <c r="S13" s="80"/>
      <c r="T13" s="16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4.25" customHeight="1" x14ac:dyDescent="0.25">
      <c r="A14" s="33">
        <f>IF(COUNTBLANK(B14)=1," ",COUNTA(B$13:B14))</f>
        <v>2</v>
      </c>
      <c r="B14" s="164" t="s">
        <v>52</v>
      </c>
      <c r="C14" s="165" t="s">
        <v>192</v>
      </c>
      <c r="D14" s="166"/>
      <c r="E14" s="167"/>
      <c r="F14" s="167"/>
      <c r="G14" s="167" t="s">
        <v>54</v>
      </c>
      <c r="H14" s="168">
        <f>apjomi!P27</f>
        <v>697.03199999999993</v>
      </c>
      <c r="I14" s="169"/>
      <c r="J14" s="170"/>
      <c r="K14" s="170"/>
      <c r="L14" s="170"/>
      <c r="M14" s="170"/>
      <c r="N14" s="170"/>
      <c r="O14" s="170"/>
      <c r="P14" s="170"/>
      <c r="Q14" s="170"/>
      <c r="R14" s="170"/>
      <c r="S14" s="170"/>
      <c r="T14" s="171"/>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2.5" x14ac:dyDescent="0.25">
      <c r="A15" s="33">
        <f>IF(COUNTBLANK(B15)=1," ",COUNTA(B$13:B15))</f>
        <v>3</v>
      </c>
      <c r="B15" s="78" t="s">
        <v>52</v>
      </c>
      <c r="C15" s="84" t="s">
        <v>193</v>
      </c>
      <c r="D15" s="84"/>
      <c r="E15" s="33"/>
      <c r="F15" s="33"/>
      <c r="G15" s="85" t="s">
        <v>54</v>
      </c>
      <c r="H15" s="93">
        <f>apjomi!P27</f>
        <v>697.03199999999993</v>
      </c>
      <c r="I15" s="80"/>
      <c r="J15" s="80"/>
      <c r="K15" s="80"/>
      <c r="L15" s="87"/>
      <c r="M15" s="80"/>
      <c r="N15" s="80"/>
      <c r="O15" s="80"/>
      <c r="P15" s="80"/>
      <c r="Q15" s="80"/>
      <c r="R15" s="80"/>
      <c r="S15" s="80"/>
      <c r="T15" s="163"/>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2.400000000000006" customHeight="1" x14ac:dyDescent="0.25">
      <c r="A16" s="33" t="str">
        <f>IF(COUNTBLANK(B16)=1," ",COUNTA(B$13:B16))</f>
        <v xml:space="preserve"> </v>
      </c>
      <c r="B16" s="78"/>
      <c r="C16" s="36" t="s">
        <v>194</v>
      </c>
      <c r="D16" s="33" t="s">
        <v>195</v>
      </c>
      <c r="E16" s="33" t="s">
        <v>196</v>
      </c>
      <c r="F16" s="33" t="s">
        <v>197</v>
      </c>
      <c r="G16" s="33"/>
      <c r="H16" s="82"/>
      <c r="I16" s="79"/>
      <c r="J16" s="80"/>
      <c r="K16" s="80"/>
      <c r="L16" s="80"/>
      <c r="M16" s="80"/>
      <c r="N16" s="80"/>
      <c r="O16" s="80"/>
      <c r="P16" s="80"/>
      <c r="Q16" s="80"/>
      <c r="R16" s="80"/>
      <c r="S16" s="80"/>
      <c r="T16" s="163"/>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33">
        <f>IF(COUNTBLANK(B17)=1," ",COUNTA(B$13:B17))</f>
        <v>4</v>
      </c>
      <c r="B17" s="78" t="s">
        <v>52</v>
      </c>
      <c r="C17" s="172" t="str">
        <f>apjomi!B4</f>
        <v>L1'/L1''</v>
      </c>
      <c r="D17" s="33">
        <f>apjomi!D4</f>
        <v>17</v>
      </c>
      <c r="E17" s="33">
        <f>apjomi!F4</f>
        <v>1.5</v>
      </c>
      <c r="F17" s="33">
        <f>apjomi!G4</f>
        <v>1.43</v>
      </c>
      <c r="G17" s="33" t="s">
        <v>60</v>
      </c>
      <c r="H17" s="86">
        <f>apjomi!J4</f>
        <v>36.465000000000003</v>
      </c>
      <c r="I17" s="33"/>
      <c r="J17" s="80"/>
      <c r="K17" s="80"/>
      <c r="L17" s="80"/>
      <c r="M17" s="87"/>
      <c r="N17" s="80"/>
      <c r="O17" s="173"/>
      <c r="P17" s="174"/>
      <c r="Q17" s="174"/>
      <c r="R17" s="174"/>
      <c r="S17" s="174"/>
      <c r="T17" s="175"/>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33">
        <f>IF(COUNTBLANK(B18)=1," ",COUNTA(B$13:B18))</f>
        <v>5</v>
      </c>
      <c r="B18" s="78" t="s">
        <v>52</v>
      </c>
      <c r="C18" s="172" t="str">
        <f>apjomi!B5</f>
        <v>L2</v>
      </c>
      <c r="D18" s="33">
        <f>apjomi!D5</f>
        <v>14</v>
      </c>
      <c r="E18" s="33">
        <f>apjomi!F5</f>
        <v>2.34</v>
      </c>
      <c r="F18" s="33">
        <f>apjomi!G5</f>
        <v>1.43</v>
      </c>
      <c r="G18" s="33" t="s">
        <v>60</v>
      </c>
      <c r="H18" s="86">
        <f>apjomi!J5</f>
        <v>46.846799999999995</v>
      </c>
      <c r="I18" s="33"/>
      <c r="J18" s="80"/>
      <c r="K18" s="80"/>
      <c r="L18" s="80"/>
      <c r="M18" s="87"/>
      <c r="N18" s="80"/>
      <c r="O18" s="173"/>
      <c r="P18" s="174"/>
      <c r="Q18" s="174"/>
      <c r="R18" s="174"/>
      <c r="S18" s="174"/>
      <c r="T18" s="175"/>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33">
        <f>IF(COUNTBLANK(B19)=1," ",COUNTA(B$13:B19))</f>
        <v>6</v>
      </c>
      <c r="B19" s="78" t="s">
        <v>52</v>
      </c>
      <c r="C19" s="172" t="str">
        <f>apjomi!B6</f>
        <v>L3</v>
      </c>
      <c r="D19" s="33">
        <f>apjomi!D6</f>
        <v>10</v>
      </c>
      <c r="E19" s="33">
        <f>apjomi!F6</f>
        <v>1.54</v>
      </c>
      <c r="F19" s="33">
        <f>apjomi!G6</f>
        <v>1.43</v>
      </c>
      <c r="G19" s="33" t="s">
        <v>60</v>
      </c>
      <c r="H19" s="86">
        <f>apjomi!J6</f>
        <v>22.021999999999998</v>
      </c>
      <c r="I19" s="33"/>
      <c r="J19" s="80"/>
      <c r="K19" s="80"/>
      <c r="L19" s="80"/>
      <c r="M19" s="87"/>
      <c r="N19" s="80"/>
      <c r="O19" s="173"/>
      <c r="P19" s="174"/>
      <c r="Q19" s="174"/>
      <c r="R19" s="174"/>
      <c r="S19" s="174"/>
      <c r="T19" s="175"/>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33">
        <f>IF(COUNTBLANK(B20)=1," ",COUNTA(B$13:B20))</f>
        <v>7</v>
      </c>
      <c r="B20" s="78" t="s">
        <v>52</v>
      </c>
      <c r="C20" s="172" t="str">
        <f>apjomi!B7</f>
        <v>L3'</v>
      </c>
      <c r="D20" s="33">
        <f>apjomi!D7</f>
        <v>4</v>
      </c>
      <c r="E20" s="33">
        <f>apjomi!F7</f>
        <v>1.54</v>
      </c>
      <c r="F20" s="33">
        <f>apjomi!G7</f>
        <v>1.43</v>
      </c>
      <c r="G20" s="33" t="s">
        <v>60</v>
      </c>
      <c r="H20" s="86">
        <f>apjomi!J7</f>
        <v>8.8087999999999997</v>
      </c>
      <c r="I20" s="33"/>
      <c r="J20" s="80"/>
      <c r="K20" s="80"/>
      <c r="L20" s="80"/>
      <c r="M20" s="87"/>
      <c r="N20" s="80"/>
      <c r="O20" s="173"/>
      <c r="P20" s="174"/>
      <c r="Q20" s="174"/>
      <c r="R20" s="174"/>
      <c r="S20" s="174"/>
      <c r="T20" s="175"/>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33">
        <f>IF(COUNTBLANK(B21)=1," ",COUNTA(B$13:B21))</f>
        <v>8</v>
      </c>
      <c r="B21" s="78" t="s">
        <v>52</v>
      </c>
      <c r="C21" s="172" t="str">
        <f>apjomi!B8</f>
        <v>L3''</v>
      </c>
      <c r="D21" s="33">
        <f>apjomi!D8</f>
        <v>3</v>
      </c>
      <c r="E21" s="33">
        <f>apjomi!F8</f>
        <v>1.54</v>
      </c>
      <c r="F21" s="33">
        <f>apjomi!G8</f>
        <v>1.43</v>
      </c>
      <c r="G21" s="33" t="s">
        <v>60</v>
      </c>
      <c r="H21" s="86">
        <f>apjomi!J8</f>
        <v>6.6066000000000003</v>
      </c>
      <c r="I21" s="33"/>
      <c r="J21" s="80"/>
      <c r="K21" s="80"/>
      <c r="L21" s="80"/>
      <c r="M21" s="87"/>
      <c r="N21" s="80"/>
      <c r="O21" s="173"/>
      <c r="P21" s="174"/>
      <c r="Q21" s="174"/>
      <c r="R21" s="174"/>
      <c r="S21" s="174"/>
      <c r="T21" s="17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s="33" t="str">
        <f>IF(COUNTBLANK(B22)=1," ",COUNTA(B$13:B22))</f>
        <v xml:space="preserve"> </v>
      </c>
      <c r="B22" s="78"/>
      <c r="C22" s="172" t="str">
        <f>apjomi!B9</f>
        <v>L4</v>
      </c>
      <c r="D22" s="33">
        <f>apjomi!D9</f>
        <v>11</v>
      </c>
      <c r="E22" s="33">
        <f>apjomi!F9</f>
        <v>1.54</v>
      </c>
      <c r="F22" s="33">
        <f>apjomi!G9</f>
        <v>1.43</v>
      </c>
      <c r="G22" s="33" t="s">
        <v>60</v>
      </c>
      <c r="H22" s="86">
        <f>apjomi!J9</f>
        <v>24.2242</v>
      </c>
      <c r="I22" s="33"/>
      <c r="J22" s="80"/>
      <c r="K22" s="80"/>
      <c r="L22" s="80"/>
      <c r="M22" s="87"/>
      <c r="N22" s="80"/>
      <c r="O22" s="173"/>
      <c r="P22" s="174"/>
      <c r="Q22" s="174"/>
      <c r="R22" s="174"/>
      <c r="S22" s="174"/>
      <c r="T22" s="17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33">
        <f>IF(COUNTBLANK(B23)=1," ",COUNTA(B$13:B23))</f>
        <v>9</v>
      </c>
      <c r="B23" s="78" t="s">
        <v>52</v>
      </c>
      <c r="C23" s="172" t="str">
        <f>apjomi!B10</f>
        <v>L4 durvis</v>
      </c>
      <c r="D23" s="33">
        <f>apjomi!D10</f>
        <v>11</v>
      </c>
      <c r="E23" s="33">
        <f>apjomi!F10</f>
        <v>0.75</v>
      </c>
      <c r="F23" s="33">
        <f>apjomi!G10</f>
        <v>2.2000000000000002</v>
      </c>
      <c r="G23" s="33" t="s">
        <v>60</v>
      </c>
      <c r="H23" s="86">
        <f>apjomi!J10</f>
        <v>18.150000000000002</v>
      </c>
      <c r="I23" s="33"/>
      <c r="J23" s="80"/>
      <c r="K23" s="80"/>
      <c r="L23" s="80"/>
      <c r="M23" s="87"/>
      <c r="N23" s="80"/>
      <c r="O23" s="173"/>
      <c r="P23" s="174"/>
      <c r="Q23" s="174"/>
      <c r="R23" s="174"/>
      <c r="S23" s="174"/>
      <c r="T23" s="17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5">
      <c r="A24" s="33" t="str">
        <f>IF(COUNTBLANK(B24)=1," ",COUNTA(B$13:B24))</f>
        <v xml:space="preserve"> </v>
      </c>
      <c r="B24" s="78"/>
      <c r="C24" s="172" t="str">
        <f>apjomi!B11</f>
        <v>L4'</v>
      </c>
      <c r="D24" s="33">
        <f>apjomi!D11</f>
        <v>3</v>
      </c>
      <c r="E24" s="33">
        <f>apjomi!F11</f>
        <v>1.54</v>
      </c>
      <c r="F24" s="33">
        <f>apjomi!G11</f>
        <v>1.43</v>
      </c>
      <c r="G24" s="33" t="s">
        <v>60</v>
      </c>
      <c r="H24" s="86">
        <f>apjomi!J11</f>
        <v>6.6066000000000003</v>
      </c>
      <c r="I24" s="33"/>
      <c r="J24" s="80"/>
      <c r="K24" s="80"/>
      <c r="L24" s="80"/>
      <c r="M24" s="87"/>
      <c r="N24" s="80"/>
      <c r="O24" s="173"/>
      <c r="P24" s="174"/>
      <c r="Q24" s="174"/>
      <c r="R24" s="174"/>
      <c r="S24" s="174"/>
      <c r="T24" s="17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x14ac:dyDescent="0.25">
      <c r="A25" s="33">
        <f>IF(COUNTBLANK(B25)=1," ",COUNTA(B$13:B25))</f>
        <v>10</v>
      </c>
      <c r="B25" s="78" t="s">
        <v>52</v>
      </c>
      <c r="C25" s="172" t="str">
        <f>apjomi!B12</f>
        <v>L4' durvis</v>
      </c>
      <c r="D25" s="33">
        <f>apjomi!D12</f>
        <v>3</v>
      </c>
      <c r="E25" s="33">
        <f>apjomi!F12</f>
        <v>0.75</v>
      </c>
      <c r="F25" s="33">
        <f>apjomi!G12</f>
        <v>2.2000000000000002</v>
      </c>
      <c r="G25" s="33" t="s">
        <v>60</v>
      </c>
      <c r="H25" s="86">
        <f>apjomi!J12</f>
        <v>4.95</v>
      </c>
      <c r="I25" s="33"/>
      <c r="J25" s="80"/>
      <c r="K25" s="80"/>
      <c r="L25" s="80"/>
      <c r="M25" s="87"/>
      <c r="N25" s="80"/>
      <c r="O25" s="173"/>
      <c r="P25" s="174"/>
      <c r="Q25" s="174"/>
      <c r="R25" s="174"/>
      <c r="S25" s="174"/>
      <c r="T25" s="17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x14ac:dyDescent="0.25">
      <c r="A26" s="33" t="str">
        <f>IF(COUNTBLANK(B26)=1," ",COUNTA(B$13:B26))</f>
        <v xml:space="preserve"> </v>
      </c>
      <c r="B26" s="78"/>
      <c r="C26" s="172" t="str">
        <f>apjomi!B13</f>
        <v>L5</v>
      </c>
      <c r="D26" s="33">
        <f>apjomi!D13</f>
        <v>9</v>
      </c>
      <c r="E26" s="33">
        <f>apjomi!F13</f>
        <v>1.54</v>
      </c>
      <c r="F26" s="33">
        <f>apjomi!G13</f>
        <v>1.43</v>
      </c>
      <c r="G26" s="33" t="s">
        <v>60</v>
      </c>
      <c r="H26" s="86">
        <f>apjomi!J13</f>
        <v>19.819800000000001</v>
      </c>
      <c r="I26" s="33"/>
      <c r="J26" s="80"/>
      <c r="K26" s="80"/>
      <c r="L26" s="80"/>
      <c r="M26" s="87"/>
      <c r="N26" s="80"/>
      <c r="O26" s="173"/>
      <c r="P26" s="174"/>
      <c r="Q26" s="174"/>
      <c r="R26" s="174"/>
      <c r="S26" s="174"/>
      <c r="T26" s="175"/>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s="33">
        <f>IF(COUNTBLANK(B27)=1," ",COUNTA(B$13:B27))</f>
        <v>11</v>
      </c>
      <c r="B27" s="78" t="s">
        <v>52</v>
      </c>
      <c r="C27" s="172" t="str">
        <f>apjomi!B14</f>
        <v>L5 durvis</v>
      </c>
      <c r="D27" s="33">
        <f>apjomi!D14</f>
        <v>9</v>
      </c>
      <c r="E27" s="33">
        <f>apjomi!F14</f>
        <v>0.75</v>
      </c>
      <c r="F27" s="33">
        <f>apjomi!G14</f>
        <v>2.2000000000000002</v>
      </c>
      <c r="G27" s="33" t="s">
        <v>60</v>
      </c>
      <c r="H27" s="86">
        <f>apjomi!J14</f>
        <v>14.850000000000001</v>
      </c>
      <c r="I27" s="33"/>
      <c r="J27" s="80"/>
      <c r="K27" s="80"/>
      <c r="L27" s="80"/>
      <c r="M27" s="87"/>
      <c r="N27" s="80"/>
      <c r="O27" s="173"/>
      <c r="P27" s="174"/>
      <c r="Q27" s="174"/>
      <c r="R27" s="174"/>
      <c r="S27" s="174"/>
      <c r="T27" s="175"/>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157" customFormat="1" ht="11.25" x14ac:dyDescent="0.2">
      <c r="A28" s="33" t="str">
        <f>IF(COUNTBLANK(B28)=1," ",COUNTA(B$13:B28))</f>
        <v xml:space="preserve"> </v>
      </c>
      <c r="B28" s="78"/>
      <c r="C28" s="172" t="str">
        <f>apjomi!B15</f>
        <v>L5'</v>
      </c>
      <c r="D28" s="33">
        <f>apjomi!D15</f>
        <v>1</v>
      </c>
      <c r="E28" s="33">
        <f>apjomi!F15</f>
        <v>1.54</v>
      </c>
      <c r="F28" s="33">
        <f>apjomi!G15</f>
        <v>1.43</v>
      </c>
      <c r="G28" s="33" t="s">
        <v>60</v>
      </c>
      <c r="H28" s="86">
        <f>apjomi!J15</f>
        <v>2.2021999999999999</v>
      </c>
      <c r="I28" s="33"/>
      <c r="J28" s="80"/>
      <c r="K28" s="80"/>
      <c r="L28" s="80"/>
      <c r="M28" s="87"/>
      <c r="N28" s="80"/>
      <c r="O28" s="173"/>
      <c r="P28" s="174"/>
      <c r="Q28" s="174"/>
      <c r="R28" s="174"/>
      <c r="S28" s="174"/>
      <c r="T28" s="175"/>
    </row>
    <row r="29" spans="1:1024" s="157" customFormat="1" ht="11.25" x14ac:dyDescent="0.2">
      <c r="A29" s="33">
        <f>IF(COUNTBLANK(B29)=1," ",COUNTA(B$13:B29))</f>
        <v>12</v>
      </c>
      <c r="B29" s="78" t="s">
        <v>52</v>
      </c>
      <c r="C29" s="172" t="str">
        <f>apjomi!B16</f>
        <v>L5' durvis</v>
      </c>
      <c r="D29" s="33">
        <f>apjomi!D16</f>
        <v>1</v>
      </c>
      <c r="E29" s="33">
        <f>apjomi!F16</f>
        <v>0.75</v>
      </c>
      <c r="F29" s="33">
        <f>apjomi!G16</f>
        <v>2.2000000000000002</v>
      </c>
      <c r="G29" s="33" t="s">
        <v>60</v>
      </c>
      <c r="H29" s="86">
        <f>apjomi!J16</f>
        <v>1.6500000000000001</v>
      </c>
      <c r="I29" s="33"/>
      <c r="J29" s="80"/>
      <c r="K29" s="80"/>
      <c r="L29" s="80"/>
      <c r="M29" s="87"/>
      <c r="N29" s="80"/>
      <c r="O29" s="173"/>
      <c r="P29" s="174"/>
      <c r="Q29" s="174"/>
      <c r="R29" s="174"/>
      <c r="S29" s="174"/>
      <c r="T29" s="175"/>
    </row>
    <row r="30" spans="1:1024" s="157" customFormat="1" ht="56.25" x14ac:dyDescent="0.2">
      <c r="A30" s="33"/>
      <c r="B30" s="78" t="s">
        <v>52</v>
      </c>
      <c r="C30" s="172" t="s">
        <v>198</v>
      </c>
      <c r="D30" s="33"/>
      <c r="E30" s="33"/>
      <c r="F30" s="33"/>
      <c r="G30" s="33"/>
      <c r="H30" s="86"/>
      <c r="I30" s="33"/>
      <c r="J30" s="80"/>
      <c r="K30" s="80"/>
      <c r="L30" s="80"/>
      <c r="M30" s="87"/>
      <c r="N30" s="80"/>
      <c r="O30" s="173"/>
      <c r="P30" s="174"/>
      <c r="Q30" s="174"/>
      <c r="R30" s="174"/>
      <c r="S30" s="174"/>
      <c r="T30" s="175"/>
    </row>
    <row r="31" spans="1:1024" s="157" customFormat="1" ht="11.25" x14ac:dyDescent="0.2">
      <c r="A31" s="33"/>
      <c r="B31" s="78"/>
      <c r="C31" s="172" t="str">
        <f>apjomi!B19</f>
        <v>UL-1</v>
      </c>
      <c r="D31" s="33">
        <f>apjomi!D19</f>
        <v>3</v>
      </c>
      <c r="E31" s="33">
        <f>apjomi!E19</f>
        <v>3</v>
      </c>
      <c r="F31" s="33">
        <f>apjomi!F19</f>
        <v>0.9</v>
      </c>
      <c r="G31" s="33" t="s">
        <v>60</v>
      </c>
      <c r="H31" s="86">
        <f>apjomi!J19</f>
        <v>0.94500000000000006</v>
      </c>
      <c r="I31" s="33"/>
      <c r="J31" s="80"/>
      <c r="K31" s="80"/>
      <c r="L31" s="80"/>
      <c r="M31" s="87"/>
      <c r="N31" s="80"/>
      <c r="O31" s="173"/>
      <c r="P31" s="174"/>
      <c r="Q31" s="174"/>
      <c r="R31" s="174"/>
      <c r="S31" s="174"/>
      <c r="T31" s="175"/>
    </row>
    <row r="32" spans="1:1024" ht="102.95" customHeight="1" x14ac:dyDescent="0.25">
      <c r="A32" s="33">
        <f>IF(COUNTBLANK(B32)=1," ",COUNTA(B$13:B32))</f>
        <v>14</v>
      </c>
      <c r="B32" s="78" t="s">
        <v>52</v>
      </c>
      <c r="C32" s="36" t="s">
        <v>199</v>
      </c>
      <c r="D32" s="33"/>
      <c r="E32" s="33"/>
      <c r="F32" s="33"/>
      <c r="G32" s="33"/>
      <c r="H32" s="86"/>
      <c r="I32" s="33"/>
      <c r="J32" s="80"/>
      <c r="K32" s="80"/>
      <c r="L32" s="80"/>
      <c r="M32" s="87"/>
      <c r="N32" s="80"/>
      <c r="O32" s="80"/>
      <c r="P32" s="80"/>
      <c r="Q32" s="80"/>
      <c r="R32" s="80"/>
      <c r="S32" s="80"/>
      <c r="T32" s="163"/>
    </row>
    <row r="33" spans="1:20" x14ac:dyDescent="0.25">
      <c r="A33" s="33" t="str">
        <f>IF(COUNTBLANK(B33)=1," ",COUNTA(B$13:B33))</f>
        <v xml:space="preserve"> </v>
      </c>
      <c r="B33" s="78"/>
      <c r="C33" s="172" t="str">
        <f>apjomi!B20</f>
        <v>UD-1</v>
      </c>
      <c r="D33" s="33">
        <f>apjomi!D20</f>
        <v>3</v>
      </c>
      <c r="E33" s="33">
        <f>apjomi!E20</f>
        <v>3</v>
      </c>
      <c r="F33" s="33">
        <f>apjomi!F20</f>
        <v>0.9</v>
      </c>
      <c r="G33" s="33" t="s">
        <v>60</v>
      </c>
      <c r="H33" s="86">
        <f>apjomi!J20</f>
        <v>5.4</v>
      </c>
      <c r="I33" s="33"/>
      <c r="J33" s="80"/>
      <c r="K33" s="80"/>
      <c r="L33" s="80"/>
      <c r="M33" s="87"/>
      <c r="N33" s="80"/>
      <c r="O33" s="173"/>
      <c r="P33" s="174"/>
      <c r="Q33" s="174"/>
      <c r="R33" s="174"/>
      <c r="S33" s="174"/>
      <c r="T33" s="175"/>
    </row>
    <row r="34" spans="1:20" ht="56.25" x14ac:dyDescent="0.25">
      <c r="A34" s="33">
        <f>IF(COUNTBLANK(B34)=1," ",COUNTA(B$13:B34))</f>
        <v>15</v>
      </c>
      <c r="B34" s="78" t="s">
        <v>52</v>
      </c>
      <c r="C34" s="172" t="s">
        <v>200</v>
      </c>
      <c r="D34" s="33"/>
      <c r="E34" s="33"/>
      <c r="F34" s="33"/>
      <c r="G34" s="33"/>
      <c r="H34" s="86"/>
      <c r="I34" s="33"/>
      <c r="J34" s="80"/>
      <c r="K34" s="80"/>
      <c r="L34" s="80"/>
      <c r="M34" s="87"/>
      <c r="N34" s="80"/>
      <c r="O34" s="80"/>
      <c r="P34" s="80"/>
      <c r="Q34" s="80"/>
      <c r="R34" s="80"/>
      <c r="S34" s="80"/>
      <c r="T34" s="163"/>
    </row>
    <row r="35" spans="1:20" x14ac:dyDescent="0.25">
      <c r="A35" s="33" t="str">
        <f>IF(COUNTBLANK(B35)=1," ",COUNTA(B$13:B35))</f>
        <v xml:space="preserve"> </v>
      </c>
      <c r="B35" s="78"/>
      <c r="C35" s="172" t="str">
        <f>apjomi!B23</f>
        <v>D-1 (durvis lifta tehniskai telpai)</v>
      </c>
      <c r="D35" s="33">
        <f>apjomi!D23</f>
        <v>3</v>
      </c>
      <c r="E35" s="33">
        <f>apjomi!E23</f>
        <v>3</v>
      </c>
      <c r="F35" s="33">
        <f>apjomi!F23</f>
        <v>0.9</v>
      </c>
      <c r="G35" s="33" t="s">
        <v>60</v>
      </c>
      <c r="H35" s="86">
        <f>apjomi!J23</f>
        <v>5.4</v>
      </c>
      <c r="I35" s="33"/>
      <c r="J35" s="80"/>
      <c r="K35" s="80"/>
      <c r="L35" s="80"/>
      <c r="M35" s="87"/>
      <c r="N35" s="80"/>
      <c r="O35" s="173"/>
      <c r="P35" s="174"/>
      <c r="Q35" s="174"/>
      <c r="R35" s="174"/>
      <c r="S35" s="174"/>
      <c r="T35" s="175"/>
    </row>
    <row r="36" spans="1:20" ht="33.75" x14ac:dyDescent="0.25">
      <c r="A36" s="33" t="str">
        <f>IF(COUNTBLANK(B36)=1," ",COUNTA(B$13:B36))</f>
        <v xml:space="preserve"> </v>
      </c>
      <c r="B36" s="78"/>
      <c r="C36" s="36" t="s">
        <v>201</v>
      </c>
      <c r="D36" s="36"/>
      <c r="E36" s="33"/>
      <c r="F36" s="33"/>
      <c r="G36" s="33"/>
      <c r="H36" s="93"/>
      <c r="I36" s="33"/>
      <c r="J36" s="80"/>
      <c r="K36" s="80"/>
      <c r="L36" s="80"/>
      <c r="M36" s="87"/>
      <c r="N36" s="80"/>
      <c r="O36" s="80"/>
      <c r="P36" s="80"/>
      <c r="Q36" s="80"/>
      <c r="R36" s="80"/>
      <c r="S36" s="80"/>
      <c r="T36" s="163"/>
    </row>
    <row r="37" spans="1:20" x14ac:dyDescent="0.25">
      <c r="A37" s="33">
        <f>IF(COUNTBLANK(B37)=1," ",COUNTA(B$13:B37))</f>
        <v>16</v>
      </c>
      <c r="B37" s="78" t="s">
        <v>52</v>
      </c>
      <c r="C37" s="84" t="str">
        <f>apjomi!B26</f>
        <v>R2</v>
      </c>
      <c r="D37" s="172">
        <f>apjomi!E26</f>
        <v>33</v>
      </c>
      <c r="E37" s="172">
        <f>apjomi!F26</f>
        <v>0.16</v>
      </c>
      <c r="F37" s="172">
        <f>apjomi!G26</f>
        <v>0.16</v>
      </c>
      <c r="G37" s="33" t="s">
        <v>60</v>
      </c>
      <c r="H37" s="93">
        <f>apjomi!J26</f>
        <v>0.8448</v>
      </c>
      <c r="I37" s="33"/>
      <c r="J37" s="80"/>
      <c r="K37" s="80"/>
      <c r="L37" s="80"/>
      <c r="M37" s="87"/>
      <c r="N37" s="80"/>
      <c r="O37" s="173"/>
      <c r="P37" s="174"/>
      <c r="Q37" s="174"/>
      <c r="R37" s="174"/>
      <c r="S37" s="174"/>
      <c r="T37" s="175"/>
    </row>
    <row r="38" spans="1:20" x14ac:dyDescent="0.25">
      <c r="A38" s="33">
        <f>IF(COUNTBLANK(B38)=1," ",COUNTA(B$13:B38))</f>
        <v>17</v>
      </c>
      <c r="B38" s="78" t="s">
        <v>52</v>
      </c>
      <c r="C38" s="176" t="s">
        <v>202</v>
      </c>
      <c r="D38" s="176"/>
      <c r="E38" s="80"/>
      <c r="F38" s="80"/>
      <c r="G38" s="33" t="s">
        <v>60</v>
      </c>
      <c r="H38" s="80">
        <f>SUM(H17:H36)</f>
        <v>224.947</v>
      </c>
      <c r="I38" s="80"/>
      <c r="J38" s="80"/>
      <c r="K38" s="80"/>
      <c r="L38" s="80"/>
      <c r="M38" s="87"/>
      <c r="N38" s="80"/>
      <c r="O38" s="80"/>
      <c r="P38" s="80"/>
      <c r="Q38" s="80"/>
      <c r="R38" s="80"/>
      <c r="S38" s="80"/>
      <c r="T38" s="163"/>
    </row>
    <row r="39" spans="1:20" x14ac:dyDescent="0.25">
      <c r="A39" s="33" t="str">
        <f>IF(COUNTBLANK(B39)=1," ",COUNTA(B$13:B39))</f>
        <v xml:space="preserve"> </v>
      </c>
      <c r="B39" s="33"/>
      <c r="C39" s="84" t="s">
        <v>203</v>
      </c>
      <c r="D39" s="84"/>
      <c r="E39" s="33"/>
      <c r="F39" s="33"/>
      <c r="G39" s="33" t="s">
        <v>77</v>
      </c>
      <c r="H39" s="80">
        <f>ROUNDUP(H38*I39,0)</f>
        <v>585</v>
      </c>
      <c r="I39" s="80">
        <v>2.6</v>
      </c>
      <c r="J39" s="80"/>
      <c r="K39" s="80"/>
      <c r="L39" s="80"/>
      <c r="M39" s="80"/>
      <c r="N39" s="80"/>
      <c r="O39" s="80"/>
      <c r="P39" s="80"/>
      <c r="Q39" s="80"/>
      <c r="R39" s="80"/>
      <c r="S39" s="80"/>
      <c r="T39" s="163"/>
    </row>
    <row r="40" spans="1:20" x14ac:dyDescent="0.25">
      <c r="A40" s="33" t="str">
        <f>IF(COUNTBLANK(B40)=1," ",COUNTA(B$13:B40))</f>
        <v xml:space="preserve"> </v>
      </c>
      <c r="B40" s="33"/>
      <c r="C40" s="176" t="s">
        <v>204</v>
      </c>
      <c r="D40" s="176"/>
      <c r="E40" s="80"/>
      <c r="F40" s="80"/>
      <c r="G40" s="80" t="s">
        <v>77</v>
      </c>
      <c r="H40" s="80">
        <f>ROUNDUP(H38*I40,0)</f>
        <v>450</v>
      </c>
      <c r="I40" s="80">
        <v>2</v>
      </c>
      <c r="J40" s="80"/>
      <c r="K40" s="80"/>
      <c r="L40" s="80"/>
      <c r="M40" s="80"/>
      <c r="N40" s="80"/>
      <c r="O40" s="80"/>
      <c r="P40" s="80"/>
      <c r="Q40" s="80"/>
      <c r="R40" s="80"/>
      <c r="S40" s="80"/>
      <c r="T40" s="163"/>
    </row>
    <row r="41" spans="1:20" x14ac:dyDescent="0.25">
      <c r="A41" s="33" t="str">
        <f>IF(COUNTBLANK(B41)=1," ",COUNTA(B$13:B41))</f>
        <v xml:space="preserve"> </v>
      </c>
      <c r="B41" s="33"/>
      <c r="C41" s="84" t="s">
        <v>205</v>
      </c>
      <c r="D41" s="84"/>
      <c r="E41" s="33"/>
      <c r="F41" s="33"/>
      <c r="G41" s="33" t="s">
        <v>73</v>
      </c>
      <c r="H41" s="80">
        <f>ROUNDUP(H38*I41,0)</f>
        <v>90</v>
      </c>
      <c r="I41" s="80">
        <v>0.4</v>
      </c>
      <c r="J41" s="80"/>
      <c r="K41" s="80"/>
      <c r="L41" s="80"/>
      <c r="M41" s="80"/>
      <c r="N41" s="80"/>
      <c r="O41" s="80"/>
      <c r="P41" s="80"/>
      <c r="Q41" s="80"/>
      <c r="R41" s="80"/>
      <c r="S41" s="80"/>
      <c r="T41" s="163"/>
    </row>
    <row r="42" spans="1:20" x14ac:dyDescent="0.25">
      <c r="A42" s="33" t="str">
        <f>IF(COUNTBLANK(B42)=1," ",COUNTA(B$13:B42))</f>
        <v xml:space="preserve"> </v>
      </c>
      <c r="B42" s="177"/>
      <c r="C42" s="178" t="s">
        <v>206</v>
      </c>
      <c r="D42" s="178"/>
      <c r="E42" s="177"/>
      <c r="F42" s="177"/>
      <c r="G42" s="177" t="s">
        <v>77</v>
      </c>
      <c r="H42" s="179">
        <f>ROUNDUP(H38*I42,0)</f>
        <v>563</v>
      </c>
      <c r="I42" s="179">
        <v>2.5</v>
      </c>
      <c r="J42" s="179"/>
      <c r="K42" s="179"/>
      <c r="L42" s="179"/>
      <c r="M42" s="179"/>
      <c r="N42" s="179"/>
      <c r="O42" s="179"/>
      <c r="P42" s="179"/>
      <c r="Q42" s="179"/>
      <c r="R42" s="179"/>
      <c r="S42" s="179"/>
      <c r="T42" s="180"/>
    </row>
    <row r="43" spans="1:20" x14ac:dyDescent="0.25">
      <c r="A43" s="33" t="str">
        <f>IF(COUNTBLANK(B43)=1," ",COUNTA(B$13:B43))</f>
        <v xml:space="preserve"> </v>
      </c>
      <c r="B43" s="33"/>
      <c r="C43" s="84" t="s">
        <v>207</v>
      </c>
      <c r="D43" s="84"/>
      <c r="E43" s="33"/>
      <c r="F43" s="33"/>
      <c r="G43" s="33" t="s">
        <v>73</v>
      </c>
      <c r="H43" s="80">
        <f>ROUNDUP(H38*I43,2)</f>
        <v>56.239999999999995</v>
      </c>
      <c r="I43" s="80">
        <v>0.25</v>
      </c>
      <c r="J43" s="80"/>
      <c r="K43" s="80"/>
      <c r="L43" s="80"/>
      <c r="M43" s="80"/>
      <c r="N43" s="80"/>
      <c r="O43" s="80"/>
      <c r="P43" s="80"/>
      <c r="Q43" s="80"/>
      <c r="R43" s="80"/>
      <c r="S43" s="80"/>
      <c r="T43" s="163"/>
    </row>
    <row r="44" spans="1:20" x14ac:dyDescent="0.25">
      <c r="A44" s="33" t="str">
        <f>IF(COUNTBLANK(B44)=1," ",COUNTA(B$13:B44))</f>
        <v xml:space="preserve"> </v>
      </c>
      <c r="B44" s="33"/>
      <c r="C44" s="84" t="s">
        <v>208</v>
      </c>
      <c r="D44" s="84"/>
      <c r="E44" s="33"/>
      <c r="F44" s="33"/>
      <c r="G44" s="33" t="s">
        <v>54</v>
      </c>
      <c r="H44" s="80">
        <f>H38*I44</f>
        <v>143.96608000000001</v>
      </c>
      <c r="I44" s="80">
        <v>0.64</v>
      </c>
      <c r="J44" s="80"/>
      <c r="K44" s="80"/>
      <c r="L44" s="80"/>
      <c r="M44" s="80"/>
      <c r="N44" s="80"/>
      <c r="O44" s="80"/>
      <c r="P44" s="80"/>
      <c r="Q44" s="80"/>
      <c r="R44" s="80"/>
      <c r="S44" s="80"/>
      <c r="T44" s="163"/>
    </row>
    <row r="45" spans="1:20" x14ac:dyDescent="0.25">
      <c r="A45" s="33" t="str">
        <f>IF(COUNTBLANK(B45)=1," ",COUNTA(B$13:B45))</f>
        <v xml:space="preserve"> </v>
      </c>
      <c r="B45" s="78"/>
      <c r="C45" s="36" t="s">
        <v>209</v>
      </c>
      <c r="D45" s="172"/>
      <c r="E45" s="33"/>
      <c r="F45" s="33"/>
      <c r="G45" s="33"/>
      <c r="H45" s="93"/>
      <c r="I45" s="33"/>
      <c r="J45" s="80"/>
      <c r="K45" s="80"/>
      <c r="L45" s="80"/>
      <c r="M45" s="87"/>
      <c r="N45" s="80"/>
      <c r="O45" s="80"/>
      <c r="P45" s="80"/>
      <c r="Q45" s="80"/>
      <c r="R45" s="80"/>
      <c r="S45" s="80"/>
      <c r="T45" s="163"/>
    </row>
    <row r="46" spans="1:20" ht="44.1" customHeight="1" x14ac:dyDescent="0.25">
      <c r="A46" s="33">
        <f>IF(COUNTBLANK(B46)=1," ",COUNTA(B$13:B46))</f>
        <v>18</v>
      </c>
      <c r="B46" s="78" t="s">
        <v>52</v>
      </c>
      <c r="C46" s="36" t="s">
        <v>210</v>
      </c>
      <c r="D46" s="36"/>
      <c r="E46" s="33"/>
      <c r="F46" s="33"/>
      <c r="G46" s="33" t="s">
        <v>60</v>
      </c>
      <c r="H46" s="93">
        <f>10*9*1*3</f>
        <v>270</v>
      </c>
      <c r="I46" s="33"/>
      <c r="J46" s="80"/>
      <c r="K46" s="80"/>
      <c r="L46" s="80"/>
      <c r="M46" s="87"/>
      <c r="N46" s="80"/>
      <c r="O46" s="80"/>
      <c r="P46" s="80"/>
      <c r="Q46" s="80"/>
      <c r="R46" s="80"/>
      <c r="S46" s="80"/>
      <c r="T46" s="163"/>
    </row>
    <row r="47" spans="1:20" ht="22.5" x14ac:dyDescent="0.25">
      <c r="A47" s="33" t="str">
        <f>IF(COUNTBLANK(B47)=1," ",COUNTA(B$13:B47))</f>
        <v xml:space="preserve"> </v>
      </c>
      <c r="B47" s="78"/>
      <c r="C47" s="36" t="s">
        <v>211</v>
      </c>
      <c r="D47" s="36"/>
      <c r="E47" s="33"/>
      <c r="F47" s="33"/>
      <c r="G47" s="33" t="s">
        <v>212</v>
      </c>
      <c r="H47" s="93">
        <f>10*9</f>
        <v>90</v>
      </c>
      <c r="I47" s="33"/>
      <c r="J47" s="80"/>
      <c r="K47" s="80"/>
      <c r="L47" s="80"/>
      <c r="M47" s="87"/>
      <c r="N47" s="80"/>
      <c r="O47" s="80"/>
      <c r="P47" s="80"/>
      <c r="Q47" s="80"/>
      <c r="R47" s="80"/>
      <c r="S47" s="80"/>
      <c r="T47" s="163"/>
    </row>
    <row r="48" spans="1:20" ht="52.9" customHeight="1" x14ac:dyDescent="0.25">
      <c r="A48" s="33" t="str">
        <f>IF(COUNTBLANK(B48)=1," ",COUNTA(B$13:B48))</f>
        <v xml:space="preserve"> </v>
      </c>
      <c r="B48" s="78"/>
      <c r="C48" s="36" t="s">
        <v>213</v>
      </c>
      <c r="D48" s="172"/>
      <c r="E48" s="33"/>
      <c r="F48" s="33"/>
      <c r="G48"/>
      <c r="H48"/>
      <c r="I48"/>
      <c r="J48"/>
      <c r="K48"/>
      <c r="L48"/>
      <c r="M48"/>
      <c r="N48"/>
      <c r="O48"/>
      <c r="P48"/>
      <c r="Q48"/>
      <c r="R48"/>
      <c r="S48"/>
      <c r="T48"/>
    </row>
    <row r="49" spans="1:20" x14ac:dyDescent="0.25">
      <c r="A49" s="33">
        <f>IF(COUNTBLANK(B49)=1," ",COUNTA(B$13:B49))</f>
        <v>19</v>
      </c>
      <c r="B49" s="78" t="s">
        <v>52</v>
      </c>
      <c r="C49" s="172" t="s">
        <v>214</v>
      </c>
      <c r="D49" s="172"/>
      <c r="E49" s="33"/>
      <c r="F49" s="33"/>
      <c r="G49" s="33" t="s">
        <v>60</v>
      </c>
      <c r="H49" s="93">
        <f>6*9*3.2*1</f>
        <v>172.8</v>
      </c>
      <c r="I49" s="33"/>
      <c r="J49" s="80"/>
      <c r="K49" s="80"/>
      <c r="L49" s="80"/>
      <c r="M49" s="87"/>
      <c r="N49" s="80"/>
      <c r="O49" s="80"/>
      <c r="P49" s="80"/>
      <c r="Q49" s="80"/>
      <c r="R49" s="80"/>
      <c r="S49" s="80"/>
      <c r="T49" s="163"/>
    </row>
    <row r="50" spans="1:20" x14ac:dyDescent="0.25">
      <c r="A50" s="33">
        <f>IF(COUNTBLANK(B50)=1," ",COUNTA(B$13:B50))</f>
        <v>20</v>
      </c>
      <c r="B50" s="78" t="s">
        <v>52</v>
      </c>
      <c r="C50" s="172" t="s">
        <v>215</v>
      </c>
      <c r="D50" s="172"/>
      <c r="E50" s="33"/>
      <c r="F50" s="33"/>
      <c r="G50" s="33" t="s">
        <v>60</v>
      </c>
      <c r="H50" s="93">
        <f>6*9*0.9*1</f>
        <v>48.6</v>
      </c>
      <c r="I50" s="33"/>
      <c r="J50" s="80"/>
      <c r="K50" s="80"/>
      <c r="L50" s="80"/>
      <c r="M50" s="87"/>
      <c r="N50" s="80"/>
      <c r="O50" s="80"/>
      <c r="P50" s="80"/>
      <c r="Q50" s="80"/>
      <c r="R50" s="80"/>
      <c r="S50" s="80"/>
      <c r="T50" s="163"/>
    </row>
    <row r="51" spans="1:20" ht="22.5" x14ac:dyDescent="0.25">
      <c r="A51" s="33"/>
      <c r="B51" s="78"/>
      <c r="C51" s="172" t="s">
        <v>216</v>
      </c>
      <c r="D51" s="172"/>
      <c r="E51" s="33"/>
      <c r="F51" s="33"/>
      <c r="G51" s="33" t="s">
        <v>60</v>
      </c>
      <c r="H51" s="93">
        <f>6*9*(3.2+0.9)</f>
        <v>221.40000000000003</v>
      </c>
      <c r="I51" s="33"/>
      <c r="J51" s="80"/>
      <c r="K51" s="80"/>
      <c r="L51" s="80"/>
      <c r="M51" s="87"/>
      <c r="N51" s="80"/>
      <c r="O51" s="80"/>
      <c r="P51" s="80"/>
      <c r="Q51" s="80"/>
      <c r="R51" s="80"/>
      <c r="S51" s="80"/>
      <c r="T51" s="163"/>
    </row>
    <row r="52" spans="1:20" ht="22.5" x14ac:dyDescent="0.25">
      <c r="A52" s="33">
        <f>IF(COUNTBLANK(B52)=1," ",COUNTA(B$13:B52))</f>
        <v>21</v>
      </c>
      <c r="B52" s="78" t="s">
        <v>52</v>
      </c>
      <c r="C52" s="36" t="s">
        <v>217</v>
      </c>
      <c r="D52" s="36"/>
      <c r="E52" s="33"/>
      <c r="F52" s="33"/>
      <c r="G52" s="33" t="s">
        <v>54</v>
      </c>
      <c r="H52" s="79">
        <f>apjomi!K27</f>
        <v>2973.4600000000005</v>
      </c>
      <c r="I52" s="33"/>
      <c r="J52" s="80"/>
      <c r="K52" s="80"/>
      <c r="L52" s="80"/>
      <c r="M52" s="87"/>
      <c r="N52" s="80"/>
      <c r="O52" s="80"/>
      <c r="P52" s="80"/>
      <c r="Q52" s="80"/>
      <c r="R52" s="80"/>
      <c r="S52" s="80"/>
      <c r="T52" s="163"/>
    </row>
    <row r="53" spans="1:20" ht="22.5" x14ac:dyDescent="0.25">
      <c r="A53" s="33">
        <f>IF(COUNTBLANK(B53)=1," ",COUNTA(B$13:B53))</f>
        <v>22</v>
      </c>
      <c r="B53" s="78" t="s">
        <v>52</v>
      </c>
      <c r="C53" s="36" t="s">
        <v>218</v>
      </c>
      <c r="D53" s="36"/>
      <c r="E53" s="33"/>
      <c r="F53" s="33"/>
      <c r="G53" s="33" t="s">
        <v>54</v>
      </c>
      <c r="H53" s="79">
        <f>apjomi!L27</f>
        <v>585.09999999999991</v>
      </c>
      <c r="I53" s="33"/>
      <c r="J53" s="80"/>
      <c r="K53" s="80"/>
      <c r="L53" s="80"/>
      <c r="M53" s="87"/>
      <c r="N53" s="80"/>
      <c r="O53" s="80"/>
      <c r="P53" s="80"/>
      <c r="Q53" s="80"/>
      <c r="R53" s="80"/>
      <c r="S53" s="80"/>
      <c r="T53" s="163"/>
    </row>
    <row r="54" spans="1:20" ht="22.5" x14ac:dyDescent="0.25">
      <c r="A54" s="33">
        <f>IF(COUNTBLANK(B54)=1," ",COUNTA(B$13:B54))</f>
        <v>23</v>
      </c>
      <c r="B54" s="78" t="s">
        <v>52</v>
      </c>
      <c r="C54" s="36" t="s">
        <v>219</v>
      </c>
      <c r="D54" s="36"/>
      <c r="E54" s="33"/>
      <c r="F54" s="33"/>
      <c r="G54" s="33" t="s">
        <v>54</v>
      </c>
      <c r="H54" s="79">
        <f>apjomi!O27</f>
        <v>124.10000000000001</v>
      </c>
      <c r="I54" s="33"/>
      <c r="J54" s="80"/>
      <c r="K54" s="80"/>
      <c r="L54" s="80"/>
      <c r="M54" s="80"/>
      <c r="N54" s="80"/>
      <c r="O54" s="80"/>
      <c r="P54" s="80"/>
      <c r="Q54" s="80"/>
      <c r="R54" s="80"/>
      <c r="S54" s="80"/>
      <c r="T54" s="163"/>
    </row>
    <row r="55" spans="1:20" ht="22.5" x14ac:dyDescent="0.25">
      <c r="A55" s="33">
        <f>IF(COUNTBLANK(B55)=1," ",COUNTA(B$13:B55))</f>
        <v>24</v>
      </c>
      <c r="B55" s="78" t="s">
        <v>52</v>
      </c>
      <c r="C55" s="36" t="s">
        <v>220</v>
      </c>
      <c r="D55" s="36"/>
      <c r="E55" s="33"/>
      <c r="F55" s="33"/>
      <c r="G55" s="33" t="s">
        <v>60</v>
      </c>
      <c r="H55" s="79">
        <f>apjomi!N27</f>
        <v>175.53</v>
      </c>
      <c r="I55" s="95"/>
      <c r="J55" s="80"/>
      <c r="K55" s="80"/>
      <c r="L55" s="80"/>
      <c r="M55" s="87"/>
      <c r="N55" s="80"/>
      <c r="O55" s="80"/>
      <c r="P55" s="80"/>
      <c r="Q55" s="80"/>
      <c r="R55" s="80"/>
      <c r="S55" s="80"/>
      <c r="T55" s="163"/>
    </row>
    <row r="56" spans="1:20" x14ac:dyDescent="0.25">
      <c r="A56" s="33"/>
      <c r="B56" s="78"/>
      <c r="C56" s="176" t="s">
        <v>221</v>
      </c>
      <c r="D56" s="36"/>
      <c r="E56" s="33"/>
      <c r="F56" s="33"/>
      <c r="G56" s="80" t="s">
        <v>54</v>
      </c>
      <c r="H56" s="80">
        <f>H55*I56</f>
        <v>52.658999999999999</v>
      </c>
      <c r="I56" s="80">
        <v>0.3</v>
      </c>
      <c r="J56" s="80"/>
      <c r="K56" s="80"/>
      <c r="L56" s="80"/>
      <c r="M56" s="80"/>
      <c r="N56" s="80"/>
      <c r="O56" s="80"/>
      <c r="P56" s="81"/>
      <c r="Q56" s="81"/>
      <c r="R56" s="81"/>
      <c r="S56" s="81"/>
      <c r="T56" s="181"/>
    </row>
    <row r="57" spans="1:20" x14ac:dyDescent="0.25">
      <c r="A57" s="33"/>
      <c r="B57" s="78"/>
      <c r="C57" s="176" t="s">
        <v>222</v>
      </c>
      <c r="D57" s="36"/>
      <c r="E57" s="33"/>
      <c r="F57" s="33"/>
      <c r="G57" s="85" t="s">
        <v>60</v>
      </c>
      <c r="H57" s="80">
        <f>H55*I57</f>
        <v>210.636</v>
      </c>
      <c r="I57" s="80">
        <v>1.2</v>
      </c>
      <c r="J57" s="80"/>
      <c r="K57" s="80"/>
      <c r="L57" s="80"/>
      <c r="M57" s="80"/>
      <c r="N57" s="80"/>
      <c r="O57" s="80"/>
      <c r="P57" s="81"/>
      <c r="Q57" s="81"/>
      <c r="R57" s="81"/>
      <c r="S57" s="81"/>
      <c r="T57" s="181"/>
    </row>
    <row r="58" spans="1:20" x14ac:dyDescent="0.25">
      <c r="A58" s="33"/>
      <c r="B58" s="78"/>
      <c r="C58" s="176" t="s">
        <v>223</v>
      </c>
      <c r="D58" s="36"/>
      <c r="E58" s="33"/>
      <c r="F58" s="33"/>
      <c r="G58" s="85" t="s">
        <v>60</v>
      </c>
      <c r="H58" s="80">
        <f>H55*I58</f>
        <v>210.636</v>
      </c>
      <c r="I58" s="80">
        <v>1.2</v>
      </c>
      <c r="J58" s="80"/>
      <c r="K58" s="80"/>
      <c r="L58" s="80"/>
      <c r="M58" s="80"/>
      <c r="N58" s="80"/>
      <c r="O58" s="80"/>
      <c r="P58" s="81"/>
      <c r="Q58" s="81"/>
      <c r="R58" s="81"/>
      <c r="S58" s="81"/>
      <c r="T58" s="181"/>
    </row>
    <row r="59" spans="1:20" x14ac:dyDescent="0.25">
      <c r="A59" s="33" t="str">
        <f>IF(COUNTBLANK(B59)=1," ",COUNTA(B$13:B59))</f>
        <v xml:space="preserve"> </v>
      </c>
      <c r="B59" s="32"/>
      <c r="C59" s="176" t="s">
        <v>224</v>
      </c>
      <c r="D59" s="182"/>
      <c r="E59" s="80"/>
      <c r="F59" s="80"/>
      <c r="G59" s="80" t="s">
        <v>70</v>
      </c>
      <c r="H59" s="80">
        <f>H55*I59</f>
        <v>175.53</v>
      </c>
      <c r="I59" s="80">
        <v>1</v>
      </c>
      <c r="J59" s="80"/>
      <c r="K59" s="80"/>
      <c r="L59" s="80"/>
      <c r="M59" s="80"/>
      <c r="N59" s="80"/>
      <c r="O59" s="80"/>
      <c r="P59" s="81"/>
      <c r="Q59" s="81"/>
      <c r="R59" s="81"/>
      <c r="S59" s="81"/>
      <c r="T59" s="181"/>
    </row>
    <row r="60" spans="1:20" x14ac:dyDescent="0.25">
      <c r="A60" s="33" t="str">
        <f>IF(COUNTBLANK(B60)=1," ",COUNTA(B$13:B60))</f>
        <v xml:space="preserve"> </v>
      </c>
      <c r="B60" s="32"/>
      <c r="C60" s="176" t="s">
        <v>225</v>
      </c>
      <c r="D60" s="182"/>
      <c r="E60" s="80"/>
      <c r="F60" s="80"/>
      <c r="G60" s="80" t="s">
        <v>70</v>
      </c>
      <c r="H60" s="80">
        <f>H55*I60</f>
        <v>140.42400000000001</v>
      </c>
      <c r="I60" s="80">
        <v>0.8</v>
      </c>
      <c r="J60" s="80"/>
      <c r="K60" s="80"/>
      <c r="L60" s="80"/>
      <c r="M60" s="80"/>
      <c r="N60" s="80"/>
      <c r="O60" s="80"/>
      <c r="P60" s="81"/>
      <c r="Q60" s="81"/>
      <c r="R60" s="81"/>
      <c r="S60" s="81"/>
      <c r="T60" s="181"/>
    </row>
    <row r="61" spans="1:20" x14ac:dyDescent="0.25">
      <c r="A61" s="33" t="str">
        <f>IF(COUNTBLANK(B61)=1," ",COUNTA(B$13:B61))</f>
        <v xml:space="preserve"> </v>
      </c>
      <c r="B61" s="32"/>
      <c r="C61" s="176" t="s">
        <v>226</v>
      </c>
      <c r="D61" s="182"/>
      <c r="E61" s="80"/>
      <c r="F61" s="80"/>
      <c r="G61" s="80" t="s">
        <v>70</v>
      </c>
      <c r="H61" s="80">
        <f>H55*I61</f>
        <v>70.212000000000003</v>
      </c>
      <c r="I61" s="80">
        <v>0.4</v>
      </c>
      <c r="J61" s="80"/>
      <c r="K61" s="80"/>
      <c r="L61" s="80"/>
      <c r="M61" s="80"/>
      <c r="N61" s="80"/>
      <c r="O61" s="80"/>
      <c r="P61" s="81"/>
      <c r="Q61" s="81"/>
      <c r="R61" s="81"/>
      <c r="S61" s="81"/>
      <c r="T61" s="181"/>
    </row>
    <row r="62" spans="1:20" x14ac:dyDescent="0.25">
      <c r="A62" s="33" t="str">
        <f>IF(COUNTBLANK(B62)=1," ",COUNTA(B$13:B62))</f>
        <v xml:space="preserve"> </v>
      </c>
      <c r="B62" s="32"/>
      <c r="C62" s="176" t="s">
        <v>227</v>
      </c>
      <c r="D62" s="84"/>
      <c r="E62" s="33"/>
      <c r="F62" s="33"/>
      <c r="G62" s="80" t="s">
        <v>77</v>
      </c>
      <c r="H62" s="80">
        <f>H55*I62</f>
        <v>17.553000000000001</v>
      </c>
      <c r="I62" s="80">
        <v>0.1</v>
      </c>
      <c r="J62" s="80"/>
      <c r="K62" s="80"/>
      <c r="L62" s="80"/>
      <c r="M62" s="80"/>
      <c r="N62" s="80"/>
      <c r="O62" s="80"/>
      <c r="P62" s="81"/>
      <c r="Q62" s="81"/>
      <c r="R62" s="81"/>
      <c r="S62" s="81"/>
      <c r="T62" s="181"/>
    </row>
    <row r="63" spans="1:20" x14ac:dyDescent="0.25">
      <c r="A63" s="183" t="str">
        <f>IF(COUNTBLANK(L63)=1," ",COUNTA($L$63:L63))</f>
        <v xml:space="preserve"> </v>
      </c>
      <c r="B63" s="37"/>
      <c r="C63" s="101" t="s">
        <v>101</v>
      </c>
      <c r="D63" s="101"/>
      <c r="E63" s="37"/>
      <c r="F63" s="37"/>
      <c r="G63" s="37"/>
      <c r="H63" s="31"/>
      <c r="I63" s="31"/>
      <c r="J63" s="37"/>
      <c r="K63" s="37"/>
      <c r="L63" s="37"/>
      <c r="M63" s="37"/>
      <c r="N63" s="37"/>
      <c r="O63" s="37"/>
      <c r="P63" s="100">
        <f>SUMIF($T13:$T62,"&gt;0",P13:P62)</f>
        <v>0</v>
      </c>
      <c r="Q63" s="100">
        <f>SUMIF($T13:$T62,"&gt;0",Q13:Q62)</f>
        <v>0</v>
      </c>
      <c r="R63" s="100">
        <f>SUMIF($T13:$T62,"&gt;0",R13:R62)</f>
        <v>0</v>
      </c>
      <c r="S63" s="100">
        <f>SUMIF($T13:$T62,"&gt;0",S13:S62)</f>
        <v>0</v>
      </c>
      <c r="T63" s="100">
        <f>SUMIF($T13:$T62,"&gt;0",T13:T62)</f>
        <v>0</v>
      </c>
    </row>
    <row r="64" spans="1:20" x14ac:dyDescent="0.25">
      <c r="A64" s="183" t="str">
        <f>IF(COUNTBLANK(L64)=1," ",COUNTA($L$63:L64))</f>
        <v xml:space="preserve"> </v>
      </c>
      <c r="B64" s="37"/>
      <c r="C64" s="19" t="s">
        <v>102</v>
      </c>
      <c r="D64" s="19"/>
      <c r="E64" s="156"/>
      <c r="F64" s="156"/>
      <c r="G64" s="37"/>
      <c r="H64" s="37"/>
      <c r="I64" s="37"/>
      <c r="J64" s="184">
        <v>0</v>
      </c>
      <c r="K64" s="37"/>
      <c r="L64" s="37"/>
      <c r="M64" s="37"/>
      <c r="N64" s="37"/>
      <c r="O64" s="37"/>
      <c r="P64" s="100"/>
      <c r="Q64" s="100"/>
      <c r="R64" s="100">
        <f>R63*J64</f>
        <v>0</v>
      </c>
      <c r="S64" s="100"/>
      <c r="T64" s="100"/>
    </row>
    <row r="65" spans="1:20" x14ac:dyDescent="0.25">
      <c r="A65" s="183" t="str">
        <f>IF(COUNTBLANK(L65)=1," ",COUNTA($L$63:L65))</f>
        <v xml:space="preserve"> </v>
      </c>
      <c r="B65" s="37"/>
      <c r="C65" s="101" t="s">
        <v>103</v>
      </c>
      <c r="D65" s="101"/>
      <c r="E65" s="37"/>
      <c r="F65" s="37"/>
      <c r="G65" s="37"/>
      <c r="H65" s="31"/>
      <c r="I65" s="31"/>
      <c r="J65" s="37"/>
      <c r="K65" s="31"/>
      <c r="L65" s="37"/>
      <c r="M65" s="37"/>
      <c r="N65" s="37"/>
      <c r="O65" s="37"/>
      <c r="P65" s="100">
        <f>SUM(P63:P64)</f>
        <v>0</v>
      </c>
      <c r="Q65" s="100">
        <f>SUM(Q63:Q64)</f>
        <v>0</v>
      </c>
      <c r="R65" s="100">
        <f>SUM(R63:R64)</f>
        <v>0</v>
      </c>
      <c r="S65" s="100">
        <f>SUM(S63:S64)</f>
        <v>0</v>
      </c>
      <c r="T65" s="100">
        <f>SUM(Q65:S65)</f>
        <v>0</v>
      </c>
    </row>
    <row r="66" spans="1:20" x14ac:dyDescent="0.25">
      <c r="A66" s="23"/>
      <c r="B66" s="31"/>
      <c r="C66" s="48"/>
      <c r="D66" s="48"/>
      <c r="E66" s="158"/>
      <c r="F66" s="158"/>
      <c r="G66" s="31"/>
      <c r="H66" s="31"/>
      <c r="I66" s="31"/>
      <c r="J66" s="156"/>
      <c r="K66" s="31"/>
      <c r="L66" s="31"/>
      <c r="M66" s="31"/>
      <c r="N66" s="31"/>
      <c r="O66" s="31"/>
      <c r="P66" s="31"/>
      <c r="Q66" s="31"/>
      <c r="R66" s="31"/>
      <c r="S66" s="31"/>
      <c r="T66" s="31"/>
    </row>
    <row r="67" spans="1:20" x14ac:dyDescent="0.25">
      <c r="A67" s="23"/>
      <c r="B67" s="31"/>
      <c r="C67" s="53" t="s">
        <v>27</v>
      </c>
      <c r="D67" s="53"/>
      <c r="E67" s="185"/>
      <c r="F67" s="185"/>
      <c r="G67" s="23"/>
      <c r="H67" s="27"/>
      <c r="I67" s="31"/>
      <c r="J67" s="156"/>
      <c r="K67" s="31"/>
      <c r="L67" s="31"/>
      <c r="M67" s="31"/>
      <c r="N67" s="31"/>
      <c r="O67" s="31"/>
      <c r="P67" s="31"/>
      <c r="Q67" s="31"/>
      <c r="R67" s="31"/>
      <c r="S67" s="31"/>
      <c r="T67" s="31"/>
    </row>
    <row r="68" spans="1:20" x14ac:dyDescent="0.25">
      <c r="A68" s="23"/>
      <c r="B68" s="31"/>
      <c r="C68" s="54" t="s">
        <v>28</v>
      </c>
      <c r="D68" s="43"/>
      <c r="E68" s="31"/>
      <c r="F68" s="31"/>
      <c r="G68" s="23"/>
      <c r="H68" s="27"/>
      <c r="I68" s="31"/>
      <c r="J68" s="156"/>
      <c r="K68" s="31"/>
      <c r="L68" s="31"/>
      <c r="M68" s="31"/>
      <c r="N68" s="31"/>
      <c r="O68" s="31"/>
      <c r="P68" s="31"/>
      <c r="Q68" s="31"/>
      <c r="R68" s="31"/>
      <c r="S68" s="31"/>
      <c r="T68" s="31"/>
    </row>
    <row r="69" spans="1:20" x14ac:dyDescent="0.25">
      <c r="A69" s="23"/>
      <c r="B69" s="31"/>
      <c r="C69" s="43"/>
      <c r="D69" s="43"/>
      <c r="E69" s="31"/>
      <c r="F69" s="31"/>
      <c r="G69" s="23"/>
      <c r="H69" s="27"/>
      <c r="I69" s="31"/>
      <c r="J69" s="156"/>
      <c r="K69" s="31"/>
      <c r="L69" s="31"/>
      <c r="M69" s="31"/>
      <c r="N69" s="31"/>
      <c r="O69" s="31"/>
      <c r="P69" s="31"/>
      <c r="Q69" s="31"/>
      <c r="R69" s="31"/>
      <c r="S69" s="31"/>
      <c r="T69" s="31"/>
    </row>
    <row r="70" spans="1:20" x14ac:dyDescent="0.25">
      <c r="A70" s="23"/>
      <c r="B70" s="31"/>
      <c r="C70" s="55" t="s">
        <v>29</v>
      </c>
      <c r="D70" s="55"/>
      <c r="E70" s="40"/>
      <c r="F70" s="40"/>
      <c r="G70" s="23"/>
      <c r="H70" s="27"/>
      <c r="I70" s="31"/>
      <c r="J70" s="156"/>
      <c r="K70" s="31"/>
      <c r="L70" s="31"/>
      <c r="M70" s="31"/>
      <c r="N70" s="31"/>
      <c r="O70" s="31"/>
      <c r="P70" s="31"/>
      <c r="Q70" s="31"/>
      <c r="R70" s="31"/>
      <c r="S70" s="31"/>
      <c r="T70" s="31"/>
    </row>
    <row r="71" spans="1:20" x14ac:dyDescent="0.25">
      <c r="A71" s="23"/>
      <c r="B71" s="31"/>
      <c r="C71" s="48" t="s">
        <v>30</v>
      </c>
      <c r="D71" s="48"/>
      <c r="E71" s="158"/>
      <c r="F71" s="158"/>
      <c r="G71" s="23"/>
      <c r="H71" s="27"/>
      <c r="I71" s="31"/>
      <c r="J71" s="156"/>
      <c r="K71" s="31"/>
      <c r="L71" s="31"/>
      <c r="M71" s="31"/>
      <c r="N71" s="31"/>
      <c r="O71" s="31"/>
      <c r="P71" s="31"/>
      <c r="Q71" s="31"/>
      <c r="R71" s="31"/>
      <c r="S71" s="31"/>
      <c r="T71" s="31"/>
    </row>
  </sheetData>
  <mergeCells count="11">
    <mergeCell ref="A1:J1"/>
    <mergeCell ref="A8:G8"/>
    <mergeCell ref="J8:M8"/>
    <mergeCell ref="O9:T9"/>
    <mergeCell ref="A10:A11"/>
    <mergeCell ref="B10:B11"/>
    <mergeCell ref="C10:F11"/>
    <mergeCell ref="G10:G11"/>
    <mergeCell ref="H10:H11"/>
    <mergeCell ref="J10:O10"/>
    <mergeCell ref="P10:T10"/>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MK33"/>
  <sheetViews>
    <sheetView zoomScaleNormal="100" workbookViewId="0">
      <selection activeCell="C16" sqref="C16"/>
    </sheetView>
  </sheetViews>
  <sheetFormatPr defaultRowHeight="15" x14ac:dyDescent="0.25"/>
  <cols>
    <col min="1" max="1" width="4" style="16"/>
    <col min="2" max="2" width="5" style="16"/>
    <col min="3" max="3" width="41.42578125" style="56"/>
    <col min="4" max="4" width="5" style="16"/>
    <col min="5" max="5" width="6.42578125" style="16"/>
    <col min="6" max="6" width="0" style="16" hidden="1"/>
    <col min="7" max="7" width="5.85546875" style="57"/>
    <col min="8" max="12" width="5.85546875" style="16"/>
    <col min="13" max="17" width="7.5703125" style="16"/>
    <col min="18" max="1019" width="7.85546875" style="16"/>
    <col min="1020" max="1025" width="8.7109375" style="58"/>
  </cols>
  <sheetData>
    <row r="1" spans="1:1024" s="19" customFormat="1" ht="11.25" x14ac:dyDescent="0.25">
      <c r="A1" s="14" t="s">
        <v>31</v>
      </c>
      <c r="B1" s="14"/>
      <c r="C1" s="14"/>
      <c r="D1" s="14"/>
      <c r="E1" s="14"/>
      <c r="F1" s="14"/>
      <c r="G1" s="14"/>
      <c r="H1" s="59">
        <f>KPDV!A15</f>
        <v>3</v>
      </c>
      <c r="I1" s="18"/>
      <c r="J1" s="18"/>
      <c r="K1" s="18"/>
      <c r="L1" s="18"/>
    </row>
    <row r="2" spans="1:1024" s="21" customFormat="1" ht="11.25" x14ac:dyDescent="0.25">
      <c r="A2" s="20"/>
      <c r="B2" s="20"/>
      <c r="C2" s="20" t="s">
        <v>228</v>
      </c>
      <c r="D2" s="20"/>
      <c r="E2" s="20"/>
      <c r="F2" s="20"/>
      <c r="G2" s="20"/>
      <c r="H2" s="60"/>
      <c r="I2" s="20"/>
      <c r="J2" s="20"/>
      <c r="K2" s="20"/>
      <c r="L2" s="20"/>
    </row>
    <row r="3" spans="1:1024" s="23" customFormat="1" ht="11.25" x14ac:dyDescent="0.25">
      <c r="A3" s="23" t="str">
        <f>KPDV!A3</f>
        <v>Būves nosaukums: Daudzdzīvokļu dzīvojamās mājas fasādes vienkāršotā atjaunošana</v>
      </c>
    </row>
    <row r="4" spans="1:1024" s="23" customFormat="1" ht="11.25" x14ac:dyDescent="0.25">
      <c r="A4" s="23" t="str">
        <f>KPDV!A4</f>
        <v>Objekta nosaukums: Daudzdzīvokļu dzīvojamās mājas Ed. Tisē ielā 48, Liepājā, 
fasādes vienkāršotā atjaunošana</v>
      </c>
    </row>
    <row r="5" spans="1:1024" s="25" customFormat="1" x14ac:dyDescent="0.25">
      <c r="A5" s="27" t="str">
        <f>KPDV!A5</f>
        <v>Objekta adrese: Tisē iela 48 Liepājā</v>
      </c>
      <c r="B5" s="27"/>
      <c r="C5" s="52"/>
      <c r="D5" s="27"/>
      <c r="E5" s="27"/>
      <c r="F5" s="27"/>
      <c r="G5" s="27"/>
      <c r="H5" s="27"/>
      <c r="I5" s="27"/>
      <c r="J5" s="27"/>
      <c r="K5" s="27"/>
      <c r="L5" s="27"/>
      <c r="M5" s="27"/>
      <c r="N5" s="27"/>
      <c r="O5" s="27"/>
      <c r="P5" s="27"/>
      <c r="Q5" s="27"/>
      <c r="AME5"/>
      <c r="AMF5"/>
      <c r="AMG5"/>
      <c r="AMH5"/>
      <c r="AMI5"/>
      <c r="AMJ5"/>
    </row>
    <row r="6" spans="1:1024" s="25" customFormat="1" x14ac:dyDescent="0.25">
      <c r="A6" s="27" t="str">
        <f>KPDV!A6</f>
        <v>Pasūtījuma Nr.WS-64-15</v>
      </c>
      <c r="B6" s="27"/>
      <c r="C6" s="52"/>
      <c r="D6" s="27"/>
      <c r="E6" s="27"/>
      <c r="F6" s="27"/>
      <c r="G6" s="27"/>
      <c r="H6" s="27"/>
      <c r="I6" s="27"/>
      <c r="J6" s="27"/>
      <c r="K6" s="27"/>
      <c r="L6" s="27"/>
      <c r="M6" s="27"/>
      <c r="N6" s="27"/>
      <c r="O6" s="27"/>
      <c r="P6" s="27"/>
      <c r="Q6" s="27"/>
      <c r="AME6"/>
      <c r="AMF6"/>
      <c r="AMG6"/>
      <c r="AMH6"/>
      <c r="AMI6"/>
      <c r="AMJ6"/>
    </row>
    <row r="7" spans="1:1024" s="25" customFormat="1" x14ac:dyDescent="0.25">
      <c r="A7" s="27" t="str">
        <f>KPDV!A7</f>
        <v>Pasūtītājs: SIA "Liepājas namu apsaimniekotājs"</v>
      </c>
      <c r="B7" s="27"/>
      <c r="C7" s="52"/>
      <c r="D7" s="27"/>
      <c r="E7" s="27"/>
      <c r="F7" s="27"/>
      <c r="G7" s="27"/>
      <c r="H7" s="27"/>
      <c r="I7" s="27"/>
      <c r="J7" s="27"/>
      <c r="K7" s="27"/>
      <c r="L7" s="27"/>
      <c r="M7" s="27"/>
      <c r="N7" s="27"/>
      <c r="O7" s="27"/>
      <c r="P7" s="27"/>
      <c r="Q7" s="27"/>
      <c r="AME7"/>
      <c r="AMF7"/>
      <c r="AMG7"/>
      <c r="AMH7"/>
      <c r="AMI7"/>
      <c r="AMJ7"/>
    </row>
    <row r="8" spans="1:1024" s="25" customFormat="1" x14ac:dyDescent="0.25">
      <c r="A8" s="27"/>
      <c r="B8" s="27"/>
      <c r="C8" s="43" t="str">
        <f>AR!D8</f>
        <v>Tāme sastādīta 2018.gada tirgus cenās, pamatojoties uz:</v>
      </c>
      <c r="D8" s="27" t="str">
        <f>AR!E8</f>
        <v>ARun BK</v>
      </c>
      <c r="F8" s="27"/>
      <c r="G8" s="27" t="str">
        <f>AR!G8</f>
        <v>daļas rasējumiem</v>
      </c>
      <c r="H8" s="27"/>
      <c r="I8" s="27"/>
      <c r="J8" s="27"/>
      <c r="K8" s="27"/>
      <c r="L8" s="27"/>
      <c r="M8" s="27"/>
      <c r="N8" s="27"/>
      <c r="O8" s="27"/>
      <c r="P8" s="27"/>
      <c r="Q8" s="27"/>
      <c r="AME8"/>
      <c r="AMF8"/>
      <c r="AMG8"/>
      <c r="AMH8"/>
      <c r="AMI8"/>
      <c r="AMJ8"/>
    </row>
    <row r="9" spans="1:1024" s="25" customFormat="1" x14ac:dyDescent="0.25">
      <c r="A9" s="9" t="str">
        <f>AR!A9</f>
        <v>Tāmes izmaksas euro:</v>
      </c>
      <c r="B9" s="9"/>
      <c r="C9" s="9"/>
      <c r="D9" s="9"/>
      <c r="E9" s="9"/>
      <c r="F9" s="9"/>
      <c r="G9" s="9"/>
      <c r="H9" s="9"/>
      <c r="I9" s="9"/>
      <c r="J9" s="9"/>
      <c r="K9" s="9"/>
      <c r="L9" s="9"/>
      <c r="M9" s="9"/>
      <c r="N9" s="9"/>
      <c r="O9" s="9"/>
      <c r="P9" s="9"/>
      <c r="Q9" s="64">
        <f>Q27</f>
        <v>0</v>
      </c>
      <c r="AME9"/>
      <c r="AMF9"/>
      <c r="AMG9"/>
      <c r="AMH9"/>
      <c r="AMI9"/>
      <c r="AMJ9"/>
    </row>
    <row r="10" spans="1:1024" s="27" customFormat="1" ht="11.25" x14ac:dyDescent="0.25">
      <c r="B10" s="186"/>
      <c r="C10" s="186"/>
      <c r="D10" s="186"/>
      <c r="E10" s="186"/>
      <c r="F10" s="155"/>
      <c r="G10" s="155"/>
      <c r="H10" s="155"/>
      <c r="I10" s="155"/>
      <c r="J10" s="155"/>
      <c r="K10" s="155"/>
      <c r="L10" s="155"/>
      <c r="M10" s="155"/>
      <c r="N10" s="155"/>
      <c r="O10" s="155"/>
      <c r="P10" s="155"/>
      <c r="Q10" s="43" t="str">
        <f>KPDV!B10</f>
        <v>Tāme sastādīta  201_.gada ___.______________</v>
      </c>
    </row>
    <row r="11" spans="1:1024" s="23" customFormat="1" ht="10.15" customHeight="1" x14ac:dyDescent="0.25">
      <c r="A11" s="8" t="s">
        <v>37</v>
      </c>
      <c r="B11" s="8" t="s">
        <v>38</v>
      </c>
      <c r="C11" s="7" t="s">
        <v>39</v>
      </c>
      <c r="D11" s="6" t="s">
        <v>40</v>
      </c>
      <c r="E11" s="8" t="s">
        <v>41</v>
      </c>
      <c r="F11" s="66">
        <v>1</v>
      </c>
      <c r="G11" s="5" t="s">
        <v>42</v>
      </c>
      <c r="H11" s="5"/>
      <c r="I11" s="5"/>
      <c r="J11" s="5"/>
      <c r="K11" s="5"/>
      <c r="L11" s="5"/>
      <c r="M11" s="5" t="s">
        <v>43</v>
      </c>
      <c r="N11" s="5"/>
      <c r="O11" s="5"/>
      <c r="P11" s="5"/>
      <c r="Q11" s="5"/>
    </row>
    <row r="12" spans="1:1024" s="25" customFormat="1" ht="66" x14ac:dyDescent="0.25">
      <c r="A12" s="8"/>
      <c r="B12" s="8"/>
      <c r="C12" s="7"/>
      <c r="D12" s="6"/>
      <c r="E12" s="8"/>
      <c r="F12" s="67">
        <v>1</v>
      </c>
      <c r="G12" s="68" t="s">
        <v>44</v>
      </c>
      <c r="H12" s="69" t="s">
        <v>45</v>
      </c>
      <c r="I12" s="70" t="s">
        <v>46</v>
      </c>
      <c r="J12" s="70" t="s">
        <v>47</v>
      </c>
      <c r="K12" s="70" t="s">
        <v>48</v>
      </c>
      <c r="L12" s="71" t="s">
        <v>49</v>
      </c>
      <c r="M12" s="68" t="s">
        <v>50</v>
      </c>
      <c r="N12" s="70" t="s">
        <v>46</v>
      </c>
      <c r="O12" s="70" t="s">
        <v>47</v>
      </c>
      <c r="P12" s="70" t="s">
        <v>48</v>
      </c>
      <c r="Q12" s="71" t="s">
        <v>51</v>
      </c>
      <c r="AME12"/>
      <c r="AMF12"/>
      <c r="AMG12"/>
      <c r="AMH12"/>
      <c r="AMI12"/>
      <c r="AMJ12"/>
    </row>
    <row r="13" spans="1:1024" s="25" customFormat="1" x14ac:dyDescent="0.25">
      <c r="A13" s="72">
        <v>1</v>
      </c>
      <c r="B13" s="72">
        <f>A13+1</f>
        <v>2</v>
      </c>
      <c r="C13" s="73">
        <f>B13+1</f>
        <v>3</v>
      </c>
      <c r="D13" s="72">
        <f>C13+1</f>
        <v>4</v>
      </c>
      <c r="E13" s="72">
        <f>D13+1</f>
        <v>5</v>
      </c>
      <c r="F13" s="74">
        <v>1</v>
      </c>
      <c r="G13" s="75">
        <f>E13+1</f>
        <v>6</v>
      </c>
      <c r="H13" s="76">
        <f t="shared" ref="H13:Q13" si="0">G13+1</f>
        <v>7</v>
      </c>
      <c r="I13" s="76">
        <f t="shared" si="0"/>
        <v>8</v>
      </c>
      <c r="J13" s="76">
        <f t="shared" si="0"/>
        <v>9</v>
      </c>
      <c r="K13" s="77">
        <f t="shared" si="0"/>
        <v>10</v>
      </c>
      <c r="L13" s="72">
        <f t="shared" si="0"/>
        <v>11</v>
      </c>
      <c r="M13" s="75">
        <f t="shared" si="0"/>
        <v>12</v>
      </c>
      <c r="N13" s="76">
        <f t="shared" si="0"/>
        <v>13</v>
      </c>
      <c r="O13" s="76">
        <f t="shared" si="0"/>
        <v>14</v>
      </c>
      <c r="P13" s="76">
        <f t="shared" si="0"/>
        <v>15</v>
      </c>
      <c r="Q13" s="77">
        <f t="shared" si="0"/>
        <v>16</v>
      </c>
      <c r="AME13"/>
      <c r="AMF13"/>
      <c r="AMG13"/>
      <c r="AMH13"/>
      <c r="AMI13"/>
      <c r="AMJ13"/>
    </row>
    <row r="14" spans="1:1024" s="25" customFormat="1" x14ac:dyDescent="0.25">
      <c r="A14" s="33">
        <f>IF(COUNTBLANK(B14)=1," ",COUNTA(B$14:B14))</f>
        <v>1</v>
      </c>
      <c r="B14" s="78" t="s">
        <v>52</v>
      </c>
      <c r="C14" s="36" t="s">
        <v>229</v>
      </c>
      <c r="D14" s="85" t="s">
        <v>99</v>
      </c>
      <c r="E14" s="93">
        <v>10</v>
      </c>
      <c r="F14" s="80"/>
      <c r="G14" s="80"/>
      <c r="H14" s="80"/>
      <c r="I14" s="80"/>
      <c r="J14" s="80"/>
      <c r="K14" s="80"/>
      <c r="L14" s="80"/>
      <c r="M14" s="80"/>
      <c r="N14" s="80"/>
      <c r="O14" s="80"/>
      <c r="P14" s="80"/>
      <c r="Q14" s="80"/>
      <c r="AME14"/>
      <c r="AMF14"/>
      <c r="AMG14"/>
      <c r="AMH14"/>
      <c r="AMI14"/>
      <c r="AMJ14"/>
    </row>
    <row r="15" spans="1:1024" s="27" customFormat="1" ht="22.5" x14ac:dyDescent="0.25">
      <c r="A15" s="33">
        <f>IF(COUNTBLANK(B15)=1," ",COUNTA(B$14:B15))</f>
        <v>2</v>
      </c>
      <c r="B15" s="78" t="s">
        <v>52</v>
      </c>
      <c r="C15" s="84" t="s">
        <v>230</v>
      </c>
      <c r="D15" s="79" t="s">
        <v>99</v>
      </c>
      <c r="E15" s="79">
        <v>4</v>
      </c>
      <c r="F15" s="80"/>
      <c r="G15" s="80"/>
      <c r="H15" s="80"/>
      <c r="I15" s="80"/>
      <c r="J15" s="80"/>
      <c r="K15" s="80"/>
      <c r="L15" s="80"/>
      <c r="M15" s="80"/>
      <c r="N15" s="80"/>
      <c r="O15" s="80"/>
      <c r="P15" s="80"/>
      <c r="Q15" s="80"/>
    </row>
    <row r="16" spans="1:1024" s="25" customFormat="1" ht="22.35" customHeight="1" x14ac:dyDescent="0.25">
      <c r="A16" s="33">
        <f>IF(COUNTBLANK(B16)=1," ",COUNTA(B$14:B16))</f>
        <v>3</v>
      </c>
      <c r="B16" s="78" t="s">
        <v>52</v>
      </c>
      <c r="C16" s="84" t="s">
        <v>231</v>
      </c>
      <c r="D16" s="33" t="s">
        <v>77</v>
      </c>
      <c r="E16" s="79">
        <v>100</v>
      </c>
      <c r="F16" s="33"/>
      <c r="G16" s="80"/>
      <c r="H16" s="80"/>
      <c r="I16" s="80"/>
      <c r="J16" s="80"/>
      <c r="K16" s="80"/>
      <c r="L16" s="80"/>
      <c r="M16" s="80"/>
      <c r="N16" s="80"/>
      <c r="O16" s="80"/>
      <c r="P16" s="80"/>
      <c r="Q16" s="80"/>
      <c r="AME16"/>
      <c r="AMF16"/>
      <c r="AMG16"/>
      <c r="AMH16"/>
      <c r="AMI16"/>
      <c r="AMJ16"/>
    </row>
    <row r="17" spans="1:1024" s="26" customFormat="1" ht="22.5" x14ac:dyDescent="0.25">
      <c r="A17" s="33">
        <f>IF(COUNTBLANK(B17)=1," ",COUNTA(B$14:B17))</f>
        <v>4</v>
      </c>
      <c r="B17" s="78" t="s">
        <v>52</v>
      </c>
      <c r="C17" s="36" t="s">
        <v>232</v>
      </c>
      <c r="D17" s="33" t="s">
        <v>60</v>
      </c>
      <c r="E17" s="79">
        <f>apjomi!D38</f>
        <v>550</v>
      </c>
      <c r="F17" s="80"/>
      <c r="G17" s="80"/>
      <c r="H17" s="80"/>
      <c r="I17" s="87"/>
      <c r="J17" s="87"/>
      <c r="K17" s="80"/>
      <c r="L17" s="80"/>
      <c r="M17" s="80"/>
      <c r="N17" s="80"/>
      <c r="O17" s="80"/>
      <c r="P17" s="80"/>
      <c r="Q17" s="80"/>
    </row>
    <row r="18" spans="1:1024" s="27" customFormat="1" ht="11.25" x14ac:dyDescent="0.25">
      <c r="A18" s="33" t="str">
        <f>IF(COUNTBLANK(B18)=1," ",COUNTA(B$14:B18))</f>
        <v xml:space="preserve"> </v>
      </c>
      <c r="B18" s="33"/>
      <c r="C18" s="84" t="s">
        <v>69</v>
      </c>
      <c r="D18" s="33" t="s">
        <v>70</v>
      </c>
      <c r="E18" s="80">
        <f>E17*F18</f>
        <v>82.5</v>
      </c>
      <c r="F18" s="80">
        <v>0.15</v>
      </c>
      <c r="G18" s="80"/>
      <c r="H18" s="80"/>
      <c r="I18" s="80"/>
      <c r="J18" s="80"/>
      <c r="K18" s="80"/>
      <c r="L18" s="80"/>
      <c r="M18" s="80"/>
      <c r="N18" s="80"/>
      <c r="O18" s="80"/>
      <c r="P18" s="80"/>
      <c r="Q18" s="80"/>
    </row>
    <row r="19" spans="1:1024" s="26" customFormat="1" ht="33.75" x14ac:dyDescent="0.25">
      <c r="A19" s="33">
        <f>IF(COUNTBLANK(B19)=1," ",COUNTA(B$14:B19))</f>
        <v>5</v>
      </c>
      <c r="B19" s="78" t="s">
        <v>52</v>
      </c>
      <c r="C19" s="36" t="s">
        <v>233</v>
      </c>
      <c r="D19" s="33" t="s">
        <v>60</v>
      </c>
      <c r="E19" s="79">
        <f>E17</f>
        <v>550</v>
      </c>
      <c r="F19" s="80"/>
      <c r="G19" s="80"/>
      <c r="H19" s="80"/>
      <c r="I19" s="87"/>
      <c r="J19" s="87"/>
      <c r="K19" s="80"/>
      <c r="L19" s="80"/>
      <c r="M19" s="80"/>
      <c r="N19" s="80"/>
      <c r="O19" s="80"/>
      <c r="P19" s="80"/>
      <c r="Q19" s="80"/>
    </row>
    <row r="20" spans="1:1024" s="27" customFormat="1" ht="11.25" x14ac:dyDescent="0.25">
      <c r="A20" s="33" t="str">
        <f>IF(COUNTBLANK(B20)=1," ",COUNTA(B$14:B20))</f>
        <v xml:space="preserve"> </v>
      </c>
      <c r="B20" s="33"/>
      <c r="C20" s="36" t="s">
        <v>234</v>
      </c>
      <c r="D20" s="33" t="s">
        <v>81</v>
      </c>
      <c r="E20" s="80">
        <f>E19*F20</f>
        <v>577.5</v>
      </c>
      <c r="F20" s="80">
        <v>1.05</v>
      </c>
      <c r="G20" s="80"/>
      <c r="H20" s="80"/>
      <c r="I20" s="80"/>
      <c r="J20" s="80"/>
      <c r="K20" s="80"/>
      <c r="L20" s="80"/>
      <c r="M20" s="80"/>
      <c r="N20" s="80"/>
      <c r="O20" s="80"/>
      <c r="P20" s="80"/>
      <c r="Q20" s="80"/>
    </row>
    <row r="21" spans="1:1024" s="25" customFormat="1" x14ac:dyDescent="0.25">
      <c r="A21" s="33" t="str">
        <f>IF(COUNTBLANK(B21)=1," ",COUNTA(B$14:B21))</f>
        <v xml:space="preserve"> </v>
      </c>
      <c r="B21" s="33"/>
      <c r="C21" s="36" t="s">
        <v>235</v>
      </c>
      <c r="D21" s="33" t="s">
        <v>70</v>
      </c>
      <c r="E21" s="80">
        <f>E19*F21</f>
        <v>2750</v>
      </c>
      <c r="F21" s="80">
        <v>5</v>
      </c>
      <c r="G21" s="80"/>
      <c r="H21" s="80"/>
      <c r="I21" s="80"/>
      <c r="J21" s="80"/>
      <c r="K21" s="80"/>
      <c r="L21" s="80"/>
      <c r="M21" s="80"/>
      <c r="N21" s="80"/>
      <c r="O21" s="80"/>
      <c r="P21" s="80"/>
      <c r="Q21" s="80"/>
      <c r="AME21"/>
      <c r="AMF21"/>
      <c r="AMG21"/>
      <c r="AMH21"/>
      <c r="AMI21"/>
      <c r="AMJ21"/>
    </row>
    <row r="22" spans="1:1024" s="42" customFormat="1" ht="11.25" x14ac:dyDescent="0.25">
      <c r="A22" s="33">
        <f>IF(COUNTBLANK(B22)=1," ",COUNTA(B$14:B22))</f>
        <v>6</v>
      </c>
      <c r="B22" s="78" t="s">
        <v>52</v>
      </c>
      <c r="C22" s="187" t="s">
        <v>98</v>
      </c>
      <c r="D22" s="85" t="s">
        <v>99</v>
      </c>
      <c r="E22" s="87">
        <v>15</v>
      </c>
      <c r="F22" s="87"/>
      <c r="G22" s="87"/>
      <c r="H22" s="80"/>
      <c r="I22" s="99"/>
      <c r="J22" s="98"/>
      <c r="K22" s="87"/>
      <c r="L22" s="80"/>
      <c r="M22" s="80"/>
      <c r="N22" s="80"/>
      <c r="O22" s="80"/>
      <c r="P22" s="80"/>
      <c r="Q22" s="80"/>
    </row>
    <row r="23" spans="1:1024" s="25" customFormat="1" x14ac:dyDescent="0.25">
      <c r="A23" s="33" t="str">
        <f>IF(COUNTBLANK(B23)=1," ",COUNTA(B$14:B23))</f>
        <v xml:space="preserve"> </v>
      </c>
      <c r="B23" s="78"/>
      <c r="C23" s="187" t="s">
        <v>100</v>
      </c>
      <c r="D23" s="98" t="s">
        <v>56</v>
      </c>
      <c r="E23" s="80">
        <f>E22/10</f>
        <v>1.5</v>
      </c>
      <c r="F23" s="87">
        <v>0.14285714285714299</v>
      </c>
      <c r="G23" s="87"/>
      <c r="H23" s="87"/>
      <c r="I23" s="99"/>
      <c r="J23" s="98"/>
      <c r="K23" s="87"/>
      <c r="L23" s="80"/>
      <c r="M23" s="80"/>
      <c r="N23" s="80"/>
      <c r="O23" s="80"/>
      <c r="P23" s="80"/>
      <c r="Q23" s="80"/>
      <c r="AME23"/>
      <c r="AMF23"/>
      <c r="AMG23"/>
      <c r="AMH23"/>
      <c r="AMI23"/>
      <c r="AMJ23"/>
    </row>
    <row r="24" spans="1:1024" s="27" customFormat="1" ht="11.25" x14ac:dyDescent="0.25">
      <c r="A24" s="37"/>
      <c r="B24" s="37"/>
      <c r="C24" s="38"/>
      <c r="D24" s="37"/>
      <c r="E24" s="100"/>
      <c r="F24" s="100"/>
      <c r="G24" s="100"/>
      <c r="H24" s="37"/>
      <c r="I24" s="100"/>
      <c r="J24" s="100"/>
      <c r="K24" s="100"/>
      <c r="L24" s="100"/>
      <c r="M24" s="100"/>
      <c r="N24" s="100"/>
      <c r="O24" s="100"/>
      <c r="P24" s="100"/>
      <c r="Q24" s="100"/>
    </row>
    <row r="25" spans="1:1024" x14ac:dyDescent="0.25">
      <c r="A25" s="37" t="str">
        <f>IF(COUNTBLANK(I25)=1," ",COUNTA($I$24:I25))</f>
        <v xml:space="preserve"> </v>
      </c>
      <c r="B25" s="37"/>
      <c r="C25" s="101" t="s">
        <v>101</v>
      </c>
      <c r="D25" s="37"/>
      <c r="E25" s="37"/>
      <c r="F25" s="37"/>
      <c r="G25" s="37"/>
      <c r="H25" s="37"/>
      <c r="I25" s="37"/>
      <c r="J25" s="37"/>
      <c r="K25" s="37"/>
      <c r="L25" s="37"/>
      <c r="M25" s="100">
        <f>SUMIF($Q14:$Q23,"&gt;0",M14:M23)</f>
        <v>0</v>
      </c>
      <c r="N25" s="100">
        <f>SUMIF($Q14:$Q23,"&gt;0",N14:N23)</f>
        <v>0</v>
      </c>
      <c r="O25" s="100">
        <f>SUMIF($Q14:$Q23,"&gt;0",O14:O23)</f>
        <v>0</v>
      </c>
      <c r="P25" s="100">
        <f>SUMIF($Q14:$Q23,"&gt;0",P14:P23)</f>
        <v>0</v>
      </c>
      <c r="Q25" s="100">
        <f>SUMIF($Q14:$Q23,"&gt;0",Q14:Q23)</f>
        <v>0</v>
      </c>
    </row>
    <row r="26" spans="1:1024" x14ac:dyDescent="0.25">
      <c r="A26" s="37" t="str">
        <f>IF(COUNTBLANK(I26)=1," ",COUNTA($I$24:I26))</f>
        <v xml:space="preserve"> </v>
      </c>
      <c r="B26" s="37"/>
      <c r="C26" s="19" t="s">
        <v>102</v>
      </c>
      <c r="D26" s="38"/>
      <c r="E26" s="25"/>
      <c r="F26" s="37"/>
      <c r="G26" s="184">
        <f>Logi!J64</f>
        <v>0</v>
      </c>
      <c r="H26" s="37"/>
      <c r="I26" s="37"/>
      <c r="J26" s="37"/>
      <c r="K26" s="37"/>
      <c r="L26" s="37"/>
      <c r="M26" s="100"/>
      <c r="N26" s="100"/>
      <c r="O26" s="100">
        <f>O25*G26</f>
        <v>0</v>
      </c>
      <c r="P26" s="100"/>
      <c r="Q26" s="100"/>
    </row>
    <row r="27" spans="1:1024" x14ac:dyDescent="0.25">
      <c r="A27" s="37" t="str">
        <f>IF(COUNTBLANK(I27)=1," ",COUNTA($I$24:I27))</f>
        <v xml:space="preserve"> </v>
      </c>
      <c r="B27" s="37"/>
      <c r="C27" s="101" t="s">
        <v>103</v>
      </c>
      <c r="D27" s="37"/>
      <c r="E27" s="37"/>
      <c r="F27" s="37"/>
      <c r="G27" s="37"/>
      <c r="I27" s="37"/>
      <c r="J27" s="37"/>
      <c r="K27" s="37"/>
      <c r="L27" s="37"/>
      <c r="M27" s="100">
        <f>SUM(M25:M26)</f>
        <v>0</v>
      </c>
      <c r="N27" s="100">
        <f>SUM(N25:N26)</f>
        <v>0</v>
      </c>
      <c r="O27" s="100">
        <f>SUM(O25:O26)</f>
        <v>0</v>
      </c>
      <c r="P27" s="100">
        <f>SUM(P25:P26)</f>
        <v>0</v>
      </c>
      <c r="Q27" s="188">
        <f>SUM(N27:P27)</f>
        <v>0</v>
      </c>
    </row>
    <row r="28" spans="1:1024" x14ac:dyDescent="0.25">
      <c r="C28" s="48"/>
      <c r="D28" s="25"/>
      <c r="E28" s="25"/>
    </row>
    <row r="29" spans="1:1024" x14ac:dyDescent="0.25">
      <c r="C29" s="53" t="s">
        <v>27</v>
      </c>
      <c r="D29" s="23"/>
      <c r="E29" s="27"/>
    </row>
    <row r="30" spans="1:1024" x14ac:dyDescent="0.25">
      <c r="C30" s="54" t="s">
        <v>28</v>
      </c>
      <c r="D30" s="23"/>
      <c r="E30" s="27"/>
    </row>
    <row r="31" spans="1:1024" x14ac:dyDescent="0.25">
      <c r="C31" s="43"/>
      <c r="D31" s="23"/>
      <c r="E31" s="27"/>
    </row>
    <row r="32" spans="1:1024" x14ac:dyDescent="0.25">
      <c r="C32" s="55" t="s">
        <v>29</v>
      </c>
      <c r="D32" s="23"/>
      <c r="E32" s="27"/>
    </row>
    <row r="33" spans="3:5" x14ac:dyDescent="0.25">
      <c r="C33" s="48" t="s">
        <v>30</v>
      </c>
      <c r="D33" s="23"/>
      <c r="E33" s="27"/>
    </row>
  </sheetData>
  <mergeCells count="9">
    <mergeCell ref="A1:G1"/>
    <mergeCell ref="A9:P9"/>
    <mergeCell ref="A11:A12"/>
    <mergeCell ref="B11:B12"/>
    <mergeCell ref="C11:C12"/>
    <mergeCell ref="D11:D12"/>
    <mergeCell ref="E11:E12"/>
    <mergeCell ref="G11:L11"/>
    <mergeCell ref="M11:Q11"/>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MK56"/>
  <sheetViews>
    <sheetView tabSelected="1" topLeftCell="A13" zoomScaleNormal="100" workbookViewId="0">
      <selection activeCell="C36" sqref="C36"/>
    </sheetView>
  </sheetViews>
  <sheetFormatPr defaultRowHeight="15" x14ac:dyDescent="0.25"/>
  <cols>
    <col min="1" max="1" width="4" style="16"/>
    <col min="2" max="2" width="4.85546875" style="16"/>
    <col min="3" max="3" width="40.28515625" style="56"/>
    <col min="4" max="4" width="6.140625" style="16"/>
    <col min="5" max="5" width="6.42578125" style="16"/>
    <col min="6" max="6" width="0" style="16" hidden="1"/>
    <col min="7" max="7" width="5.85546875" style="57"/>
    <col min="8" max="12" width="8.7109375" style="16"/>
    <col min="13" max="17" width="7.5703125" style="16"/>
    <col min="18" max="1015" width="7.85546875" style="16"/>
    <col min="1016" max="1025" width="8.7109375" style="58"/>
  </cols>
  <sheetData>
    <row r="1" spans="1:1024" s="19" customFormat="1" ht="11.25" x14ac:dyDescent="0.25">
      <c r="B1" s="18"/>
      <c r="C1" s="18"/>
      <c r="D1" s="18"/>
      <c r="E1" s="18"/>
      <c r="F1" s="18"/>
      <c r="G1" s="18" t="s">
        <v>31</v>
      </c>
      <c r="H1" s="59">
        <f>KPDV!A16</f>
        <v>4</v>
      </c>
      <c r="I1" s="18"/>
      <c r="J1" s="18"/>
      <c r="K1" s="18"/>
      <c r="L1" s="18"/>
    </row>
    <row r="2" spans="1:1024" s="21" customFormat="1" ht="11.25" x14ac:dyDescent="0.25">
      <c r="A2" s="20"/>
      <c r="B2" s="20"/>
      <c r="C2" s="20" t="s">
        <v>236</v>
      </c>
      <c r="D2" s="20"/>
      <c r="E2" s="20"/>
      <c r="F2" s="20"/>
      <c r="G2" s="20"/>
      <c r="H2" s="60"/>
      <c r="I2" s="20"/>
      <c r="J2" s="20"/>
      <c r="K2" s="20"/>
      <c r="L2" s="20"/>
    </row>
    <row r="3" spans="1:1024" s="23" customFormat="1" ht="11.25" x14ac:dyDescent="0.25">
      <c r="A3" s="23" t="str">
        <f>KPDV!A3</f>
        <v>Būves nosaukums: Daudzdzīvokļu dzīvojamās mājas fasādes vienkāršotā atjaunošana</v>
      </c>
    </row>
    <row r="4" spans="1:1024" s="23" customFormat="1" ht="20.85" customHeight="1" x14ac:dyDescent="0.25">
      <c r="A4" s="23" t="str">
        <f>KPDV!A4</f>
        <v>Objekta nosaukums: Daudzdzīvokļu dzīvojamās mājas Ed. Tisē ielā 48, Liepājā, 
fasādes vienkāršotā atjaunošana</v>
      </c>
    </row>
    <row r="5" spans="1:1024" s="25" customFormat="1" x14ac:dyDescent="0.25">
      <c r="A5" s="27" t="str">
        <f>KPDV!A5</f>
        <v>Objekta adrese: Tisē iela 48 Liepājā</v>
      </c>
      <c r="B5" s="27"/>
      <c r="C5" s="52"/>
      <c r="D5" s="27"/>
      <c r="E5" s="27"/>
      <c r="F5" s="27"/>
      <c r="G5" s="27"/>
      <c r="H5" s="27"/>
      <c r="I5" s="27"/>
      <c r="J5" s="27"/>
      <c r="K5" s="27"/>
      <c r="L5" s="27"/>
      <c r="M5" s="27"/>
      <c r="N5" s="27"/>
      <c r="O5" s="27"/>
      <c r="P5" s="27"/>
      <c r="Q5" s="27"/>
      <c r="AMA5"/>
      <c r="AMB5"/>
      <c r="AMC5"/>
      <c r="AMD5"/>
      <c r="AME5"/>
      <c r="AMF5"/>
      <c r="AMG5"/>
      <c r="AMH5"/>
      <c r="AMI5"/>
      <c r="AMJ5"/>
    </row>
    <row r="6" spans="1:1024" s="25" customFormat="1" x14ac:dyDescent="0.25">
      <c r="A6" s="27" t="str">
        <f>KPDV!A6</f>
        <v>Pasūtījuma Nr.WS-64-15</v>
      </c>
      <c r="B6" s="27"/>
      <c r="C6" s="52"/>
      <c r="D6" s="27"/>
      <c r="E6" s="27"/>
      <c r="F6" s="27"/>
      <c r="G6" s="27"/>
      <c r="H6" s="27"/>
      <c r="I6" s="27"/>
      <c r="J6" s="27"/>
      <c r="K6" s="27"/>
      <c r="L6" s="27"/>
      <c r="M6" s="27"/>
      <c r="N6" s="27"/>
      <c r="O6" s="27"/>
      <c r="P6" s="27"/>
      <c r="Q6" s="27"/>
      <c r="AMA6"/>
      <c r="AMB6"/>
      <c r="AMC6"/>
      <c r="AMD6"/>
      <c r="AME6"/>
      <c r="AMF6"/>
      <c r="AMG6"/>
      <c r="AMH6"/>
      <c r="AMI6"/>
      <c r="AMJ6"/>
    </row>
    <row r="7" spans="1:1024" s="25" customFormat="1" x14ac:dyDescent="0.25">
      <c r="A7" s="27" t="str">
        <f>KPDV!A7</f>
        <v>Pasūtītājs: SIA "Liepājas namu apsaimniekotājs"</v>
      </c>
      <c r="B7" s="27"/>
      <c r="C7" s="52"/>
      <c r="D7" s="27"/>
      <c r="E7" s="27"/>
      <c r="F7" s="27"/>
      <c r="G7" s="27"/>
      <c r="H7" s="27"/>
      <c r="I7" s="27"/>
      <c r="J7" s="27"/>
      <c r="K7" s="27"/>
      <c r="L7" s="27"/>
      <c r="M7" s="27"/>
      <c r="N7" s="27"/>
      <c r="O7" s="27"/>
      <c r="P7" s="27"/>
      <c r="Q7" s="27"/>
      <c r="AMA7"/>
      <c r="AMB7"/>
      <c r="AMC7"/>
      <c r="AMD7"/>
      <c r="AME7"/>
      <c r="AMF7"/>
      <c r="AMG7"/>
      <c r="AMH7"/>
      <c r="AMI7"/>
      <c r="AMJ7"/>
    </row>
    <row r="8" spans="1:1024" s="25" customFormat="1" x14ac:dyDescent="0.25">
      <c r="A8" s="27"/>
      <c r="B8" s="27"/>
      <c r="C8" s="43" t="str">
        <f>AR!D8</f>
        <v>Tāme sastādīta 2018.gada tirgus cenās, pamatojoties uz:</v>
      </c>
      <c r="D8" s="27" t="str">
        <f>AR!E8</f>
        <v>ARun BK</v>
      </c>
      <c r="F8" s="27"/>
      <c r="G8" s="27" t="str">
        <f>AR!G8</f>
        <v>daļas rasējumiem</v>
      </c>
      <c r="H8" s="27"/>
      <c r="I8" s="27"/>
      <c r="J8" s="27"/>
      <c r="K8" s="27"/>
      <c r="L8" s="27"/>
      <c r="M8" s="27"/>
      <c r="N8" s="27"/>
      <c r="O8" s="27"/>
      <c r="P8" s="27"/>
      <c r="Q8" s="27"/>
      <c r="AMA8"/>
      <c r="AMB8"/>
      <c r="AMC8"/>
      <c r="AMD8"/>
      <c r="AME8"/>
      <c r="AMF8"/>
      <c r="AMG8"/>
      <c r="AMH8"/>
      <c r="AMI8"/>
      <c r="AMJ8"/>
    </row>
    <row r="9" spans="1:1024" s="25" customFormat="1" x14ac:dyDescent="0.25">
      <c r="A9" s="9" t="str">
        <f>pagrabs!A9</f>
        <v>Tāmes izmaksas euro:</v>
      </c>
      <c r="B9" s="9"/>
      <c r="C9" s="9"/>
      <c r="D9" s="9"/>
      <c r="E9" s="9"/>
      <c r="F9" s="9"/>
      <c r="G9" s="9"/>
      <c r="H9" s="9"/>
      <c r="I9" s="9"/>
      <c r="J9" s="9"/>
      <c r="K9" s="9"/>
      <c r="L9" s="9"/>
      <c r="M9" s="9"/>
      <c r="N9" s="9"/>
      <c r="O9" s="9"/>
      <c r="P9" s="9"/>
      <c r="Q9" s="64">
        <f>Q50</f>
        <v>0</v>
      </c>
      <c r="AMA9"/>
      <c r="AMB9"/>
      <c r="AMC9"/>
      <c r="AMD9"/>
      <c r="AME9"/>
      <c r="AMF9"/>
      <c r="AMG9"/>
      <c r="AMH9"/>
      <c r="AMI9"/>
      <c r="AMJ9"/>
    </row>
    <row r="10" spans="1:1024" s="27" customFormat="1" ht="11.25" x14ac:dyDescent="0.25">
      <c r="B10" s="155"/>
      <c r="C10" s="155"/>
      <c r="D10" s="155"/>
      <c r="E10" s="155"/>
      <c r="F10" s="155"/>
      <c r="G10" s="155"/>
      <c r="H10" s="155"/>
      <c r="I10" s="155"/>
      <c r="J10" s="155"/>
      <c r="K10" s="155"/>
      <c r="L10" s="155"/>
      <c r="M10" s="155"/>
      <c r="N10" s="155"/>
      <c r="O10" s="155"/>
      <c r="P10" s="155"/>
      <c r="Q10" s="43" t="str">
        <f>KPDV!B10</f>
        <v>Tāme sastādīta  201_.gada ___.______________</v>
      </c>
    </row>
    <row r="11" spans="1:1024" s="23" customFormat="1" ht="10.15" customHeight="1" x14ac:dyDescent="0.25">
      <c r="A11" s="8" t="s">
        <v>37</v>
      </c>
      <c r="B11" s="8" t="s">
        <v>38</v>
      </c>
      <c r="C11" s="7" t="s">
        <v>39</v>
      </c>
      <c r="D11" s="6" t="s">
        <v>40</v>
      </c>
      <c r="E11" s="8" t="s">
        <v>41</v>
      </c>
      <c r="F11" s="66">
        <v>1</v>
      </c>
      <c r="G11" s="5" t="s">
        <v>42</v>
      </c>
      <c r="H11" s="5"/>
      <c r="I11" s="5"/>
      <c r="J11" s="5"/>
      <c r="K11" s="5"/>
      <c r="L11" s="5"/>
      <c r="M11" s="5" t="s">
        <v>43</v>
      </c>
      <c r="N11" s="5"/>
      <c r="O11" s="5"/>
      <c r="P11" s="5"/>
      <c r="Q11" s="5"/>
    </row>
    <row r="12" spans="1:1024" s="25" customFormat="1" ht="54" x14ac:dyDescent="0.25">
      <c r="A12" s="8"/>
      <c r="B12" s="8"/>
      <c r="C12" s="7"/>
      <c r="D12" s="6"/>
      <c r="E12" s="8"/>
      <c r="F12" s="67">
        <v>1</v>
      </c>
      <c r="G12" s="68" t="s">
        <v>44</v>
      </c>
      <c r="H12" s="69" t="s">
        <v>45</v>
      </c>
      <c r="I12" s="70" t="s">
        <v>46</v>
      </c>
      <c r="J12" s="70" t="s">
        <v>47</v>
      </c>
      <c r="K12" s="70" t="s">
        <v>48</v>
      </c>
      <c r="L12" s="71" t="s">
        <v>49</v>
      </c>
      <c r="M12" s="68" t="s">
        <v>50</v>
      </c>
      <c r="N12" s="70" t="s">
        <v>46</v>
      </c>
      <c r="O12" s="70" t="s">
        <v>47</v>
      </c>
      <c r="P12" s="70" t="s">
        <v>48</v>
      </c>
      <c r="Q12" s="71" t="s">
        <v>51</v>
      </c>
      <c r="AMA12"/>
      <c r="AMB12"/>
      <c r="AMC12"/>
      <c r="AMD12"/>
      <c r="AME12"/>
      <c r="AMF12"/>
      <c r="AMG12"/>
      <c r="AMH12"/>
      <c r="AMI12"/>
      <c r="AMJ12"/>
    </row>
    <row r="13" spans="1:1024" s="25" customFormat="1" x14ac:dyDescent="0.25">
      <c r="A13" s="72">
        <v>1</v>
      </c>
      <c r="B13" s="72">
        <f>A13+1</f>
        <v>2</v>
      </c>
      <c r="C13" s="73">
        <f>B13+1</f>
        <v>3</v>
      </c>
      <c r="D13" s="72">
        <f>C13+1</f>
        <v>4</v>
      </c>
      <c r="E13" s="72">
        <f>D13+1</f>
        <v>5</v>
      </c>
      <c r="F13" s="74">
        <v>1</v>
      </c>
      <c r="G13" s="75">
        <f>E13+1</f>
        <v>6</v>
      </c>
      <c r="H13" s="76">
        <f t="shared" ref="H13:Q13" si="0">G13+1</f>
        <v>7</v>
      </c>
      <c r="I13" s="76">
        <f t="shared" si="0"/>
        <v>8</v>
      </c>
      <c r="J13" s="76">
        <f t="shared" si="0"/>
        <v>9</v>
      </c>
      <c r="K13" s="77">
        <f t="shared" si="0"/>
        <v>10</v>
      </c>
      <c r="L13" s="72">
        <f t="shared" si="0"/>
        <v>11</v>
      </c>
      <c r="M13" s="75">
        <f t="shared" si="0"/>
        <v>12</v>
      </c>
      <c r="N13" s="76">
        <f t="shared" si="0"/>
        <v>13</v>
      </c>
      <c r="O13" s="76">
        <f t="shared" si="0"/>
        <v>14</v>
      </c>
      <c r="P13" s="76">
        <f t="shared" si="0"/>
        <v>15</v>
      </c>
      <c r="Q13" s="77">
        <f t="shared" si="0"/>
        <v>16</v>
      </c>
      <c r="AMA13"/>
      <c r="AMB13"/>
      <c r="AMC13"/>
      <c r="AMD13"/>
      <c r="AME13"/>
      <c r="AMF13"/>
      <c r="AMG13"/>
      <c r="AMH13"/>
      <c r="AMI13"/>
      <c r="AMJ13"/>
    </row>
    <row r="14" spans="1:1024" s="25" customFormat="1" x14ac:dyDescent="0.25">
      <c r="A14" s="33">
        <f>IF(COUNTBLANK(B14)=1," ",COUNTA(B$14:B14))</f>
        <v>1</v>
      </c>
      <c r="B14" s="78" t="s">
        <v>52</v>
      </c>
      <c r="C14" s="36" t="s">
        <v>237</v>
      </c>
      <c r="D14" s="33" t="s">
        <v>60</v>
      </c>
      <c r="E14" s="33">
        <v>25</v>
      </c>
      <c r="F14" s="33"/>
      <c r="G14" s="80"/>
      <c r="H14" s="80"/>
      <c r="I14" s="80"/>
      <c r="J14" s="80"/>
      <c r="K14" s="80"/>
      <c r="L14" s="80"/>
      <c r="M14" s="80"/>
      <c r="N14" s="80"/>
      <c r="O14" s="80"/>
      <c r="P14" s="80"/>
      <c r="Q14" s="80"/>
      <c r="AMA14"/>
      <c r="AMB14"/>
      <c r="AMC14"/>
      <c r="AMD14"/>
      <c r="AME14"/>
      <c r="AMF14"/>
      <c r="AMG14"/>
      <c r="AMH14"/>
      <c r="AMI14"/>
      <c r="AMJ14"/>
    </row>
    <row r="15" spans="1:1024" s="25" customFormat="1" x14ac:dyDescent="0.25">
      <c r="A15" s="33">
        <f>IF(COUNTBLANK(B15)=1," ",COUNTA(B$14:B15))</f>
        <v>2</v>
      </c>
      <c r="B15" s="78" t="s">
        <v>52</v>
      </c>
      <c r="C15" s="36" t="s">
        <v>238</v>
      </c>
      <c r="D15" s="33" t="s">
        <v>60</v>
      </c>
      <c r="E15" s="79">
        <f>apjomi!U27*2.3</f>
        <v>241.49999999999997</v>
      </c>
      <c r="F15" s="85"/>
      <c r="G15" s="80"/>
      <c r="H15" s="80"/>
      <c r="I15" s="80"/>
      <c r="J15" s="80"/>
      <c r="K15" s="80"/>
      <c r="L15" s="80"/>
      <c r="M15" s="80"/>
      <c r="N15" s="80"/>
      <c r="O15" s="80"/>
      <c r="P15" s="80"/>
      <c r="Q15" s="80"/>
      <c r="AMA15"/>
      <c r="AMB15"/>
      <c r="AMC15"/>
      <c r="AMD15"/>
      <c r="AME15"/>
      <c r="AMF15"/>
      <c r="AMG15"/>
      <c r="AMH15"/>
      <c r="AMI15"/>
      <c r="AMJ15"/>
    </row>
    <row r="16" spans="1:1024" s="25" customFormat="1" x14ac:dyDescent="0.25">
      <c r="A16" s="33">
        <f>IF(COUNTBLANK(B16)=1," ",COUNTA(B$14:B16))</f>
        <v>3</v>
      </c>
      <c r="B16" s="78" t="s">
        <v>52</v>
      </c>
      <c r="C16" s="36" t="s">
        <v>239</v>
      </c>
      <c r="D16" s="33" t="s">
        <v>99</v>
      </c>
      <c r="E16" s="79">
        <f>142*1.2*1</f>
        <v>170.4</v>
      </c>
      <c r="F16" s="85"/>
      <c r="G16" s="80"/>
      <c r="H16" s="80"/>
      <c r="I16" s="80"/>
      <c r="J16" s="80"/>
      <c r="K16" s="80"/>
      <c r="L16" s="80"/>
      <c r="M16" s="80"/>
      <c r="N16" s="80"/>
      <c r="O16" s="80"/>
      <c r="P16" s="80"/>
      <c r="Q16" s="80"/>
      <c r="AMA16"/>
      <c r="AMB16"/>
      <c r="AMC16"/>
      <c r="AMD16"/>
      <c r="AME16"/>
      <c r="AMF16"/>
      <c r="AMG16"/>
      <c r="AMH16"/>
      <c r="AMI16"/>
      <c r="AMJ16"/>
    </row>
    <row r="17" spans="1:1024" s="26" customFormat="1" ht="22.5" x14ac:dyDescent="0.25">
      <c r="A17" s="33">
        <f>IF(COUNTBLANK(B17)=1," ",COUNTA(B$14:B17))</f>
        <v>4</v>
      </c>
      <c r="B17" s="78" t="s">
        <v>52</v>
      </c>
      <c r="C17" s="36" t="s">
        <v>240</v>
      </c>
      <c r="D17" s="33" t="s">
        <v>60</v>
      </c>
      <c r="E17" s="79">
        <f>E15</f>
        <v>241.49999999999997</v>
      </c>
      <c r="F17" s="80"/>
      <c r="G17" s="80"/>
      <c r="H17" s="80"/>
      <c r="I17" s="87"/>
      <c r="J17" s="87"/>
      <c r="K17" s="80"/>
      <c r="L17" s="80"/>
      <c r="M17" s="80"/>
      <c r="N17" s="80"/>
      <c r="O17" s="80"/>
      <c r="P17" s="80"/>
      <c r="Q17" s="80"/>
    </row>
    <row r="18" spans="1:1024" s="27" customFormat="1" ht="22.5" x14ac:dyDescent="0.25">
      <c r="A18" s="33" t="str">
        <f>IF(COUNTBLANK(B18)=1," ",COUNTA(B$14:B18))</f>
        <v xml:space="preserve"> </v>
      </c>
      <c r="B18" s="33"/>
      <c r="C18" s="84" t="s">
        <v>241</v>
      </c>
      <c r="D18" s="33" t="s">
        <v>70</v>
      </c>
      <c r="E18" s="80">
        <f>E17*F18</f>
        <v>120.74999999999999</v>
      </c>
      <c r="F18" s="80">
        <v>0.5</v>
      </c>
      <c r="G18" s="80"/>
      <c r="H18" s="80"/>
      <c r="I18" s="80"/>
      <c r="J18" s="80"/>
      <c r="K18" s="80"/>
      <c r="L18" s="80"/>
      <c r="M18" s="80"/>
      <c r="N18" s="80"/>
      <c r="O18" s="80"/>
      <c r="P18" s="80"/>
      <c r="Q18" s="80"/>
    </row>
    <row r="19" spans="1:1024" s="158" customFormat="1" ht="22.5" x14ac:dyDescent="0.25">
      <c r="A19" s="33">
        <f>IF(COUNTBLANK(B19)=1," ",COUNTA(B$14:B19))</f>
        <v>5</v>
      </c>
      <c r="B19" s="78" t="s">
        <v>52</v>
      </c>
      <c r="C19" s="36" t="s">
        <v>242</v>
      </c>
      <c r="D19" s="33" t="s">
        <v>60</v>
      </c>
      <c r="E19" s="79">
        <f>E17</f>
        <v>241.49999999999997</v>
      </c>
      <c r="F19" s="80"/>
      <c r="G19" s="80"/>
      <c r="H19" s="80"/>
      <c r="I19" s="80"/>
      <c r="J19" s="80"/>
      <c r="K19" s="80"/>
      <c r="L19" s="80"/>
      <c r="M19" s="80"/>
      <c r="N19" s="80"/>
      <c r="O19" s="80"/>
      <c r="P19" s="80"/>
      <c r="Q19" s="80"/>
    </row>
    <row r="20" spans="1:1024" s="25" customFormat="1" ht="22.5" x14ac:dyDescent="0.25">
      <c r="A20" s="33" t="str">
        <f>IF(COUNTBLANK(B20)=1," ",COUNTA(B$14:B20))</f>
        <v xml:space="preserve"> </v>
      </c>
      <c r="B20" s="33"/>
      <c r="C20" s="84" t="s">
        <v>243</v>
      </c>
      <c r="D20" s="80" t="s">
        <v>70</v>
      </c>
      <c r="E20" s="80">
        <f>E19*F20</f>
        <v>241.49999999999997</v>
      </c>
      <c r="F20" s="80">
        <v>1</v>
      </c>
      <c r="G20" s="80"/>
      <c r="H20" s="80"/>
      <c r="I20" s="80"/>
      <c r="J20" s="80"/>
      <c r="K20" s="80"/>
      <c r="L20" s="80"/>
      <c r="M20" s="80"/>
      <c r="N20" s="80"/>
      <c r="O20" s="80"/>
      <c r="P20" s="80"/>
      <c r="Q20" s="80"/>
      <c r="AMA20"/>
      <c r="AMB20"/>
      <c r="AMC20"/>
      <c r="AMD20"/>
      <c r="AME20"/>
      <c r="AMF20"/>
      <c r="AMG20"/>
      <c r="AMH20"/>
      <c r="AMI20"/>
      <c r="AMJ20"/>
    </row>
    <row r="21" spans="1:1024" s="97" customFormat="1" ht="67.5" x14ac:dyDescent="0.25">
      <c r="A21" s="33">
        <f>IF(COUNTBLANK(B21)=1," ",COUNTA(B$14:B21))</f>
        <v>6</v>
      </c>
      <c r="B21" s="36" t="str">
        <f>apjomi!A32</f>
        <v>S2 Pamatu sienu siltinājums</v>
      </c>
      <c r="C21" s="36" t="str">
        <f>apjomi!B32</f>
        <v>Apmetuma sistēma virs siltinājuma (AS-1), b=7mm; grunts; putupolistirola plāksne , ekviv.  Tenapors Extra Neo EPS100 λ=0,034W/m²K,b=150mm; līmjava; vertikālā hidroizolācija; grunts; esošā  siena -ribotais panelis, b=350/140mm</v>
      </c>
      <c r="D21" s="33" t="s">
        <v>60</v>
      </c>
      <c r="E21" s="79">
        <f>apjomi!D32</f>
        <v>345</v>
      </c>
      <c r="F21" s="33"/>
      <c r="G21" s="80"/>
      <c r="H21" s="80"/>
      <c r="I21" s="80"/>
      <c r="J21" s="87"/>
      <c r="K21" s="33"/>
      <c r="L21" s="80"/>
      <c r="M21" s="80"/>
      <c r="N21" s="80"/>
      <c r="O21" s="80"/>
      <c r="P21" s="80"/>
      <c r="Q21" s="80"/>
    </row>
    <row r="22" spans="1:1024" s="158" customFormat="1" ht="22.5" x14ac:dyDescent="0.25">
      <c r="A22" s="33" t="str">
        <f>IF(COUNTBLANK(B22)=1," ",COUNTA(B$14:B22))</f>
        <v xml:space="preserve"> </v>
      </c>
      <c r="B22" s="33"/>
      <c r="C22" s="36" t="s">
        <v>244</v>
      </c>
      <c r="D22" s="33" t="s">
        <v>81</v>
      </c>
      <c r="E22" s="80">
        <f>E21*F22</f>
        <v>362.25</v>
      </c>
      <c r="F22" s="33">
        <v>1.05</v>
      </c>
      <c r="G22" s="33"/>
      <c r="H22" s="33"/>
      <c r="I22" s="33"/>
      <c r="J22" s="80"/>
      <c r="K22" s="80"/>
      <c r="L22" s="80"/>
      <c r="M22" s="80"/>
      <c r="N22" s="80"/>
      <c r="O22" s="80"/>
      <c r="P22" s="80"/>
      <c r="Q22" s="80"/>
    </row>
    <row r="23" spans="1:1024" s="25" customFormat="1" x14ac:dyDescent="0.25">
      <c r="A23" s="33" t="str">
        <f>IF(COUNTBLANK(B23)=1," ",COUNTA(B$14:B23))</f>
        <v xml:space="preserve"> </v>
      </c>
      <c r="B23" s="33"/>
      <c r="C23" s="36" t="s">
        <v>245</v>
      </c>
      <c r="D23" s="33" t="s">
        <v>70</v>
      </c>
      <c r="E23" s="80">
        <f>E21*F23</f>
        <v>1725</v>
      </c>
      <c r="F23" s="80">
        <v>5</v>
      </c>
      <c r="G23" s="80"/>
      <c r="H23" s="80"/>
      <c r="I23" s="80"/>
      <c r="J23" s="80"/>
      <c r="K23" s="80"/>
      <c r="L23" s="80"/>
      <c r="M23" s="80"/>
      <c r="N23" s="80"/>
      <c r="O23" s="80"/>
      <c r="P23" s="80"/>
      <c r="Q23" s="80"/>
      <c r="AMA23"/>
      <c r="AMB23"/>
      <c r="AMC23"/>
      <c r="AMD23"/>
      <c r="AME23"/>
      <c r="AMF23"/>
      <c r="AMG23"/>
      <c r="AMH23"/>
      <c r="AMI23"/>
      <c r="AMJ23"/>
    </row>
    <row r="24" spans="1:1024" s="25" customFormat="1" x14ac:dyDescent="0.25">
      <c r="A24" s="33" t="str">
        <f>IF(COUNTBLANK(B24)=1," ",COUNTA(B$14:B24))</f>
        <v xml:space="preserve"> </v>
      </c>
      <c r="B24" s="33"/>
      <c r="C24" s="36" t="s">
        <v>246</v>
      </c>
      <c r="D24" s="33" t="s">
        <v>77</v>
      </c>
      <c r="E24" s="80">
        <f>E21*F24</f>
        <v>1725</v>
      </c>
      <c r="F24" s="80">
        <v>5</v>
      </c>
      <c r="G24" s="80"/>
      <c r="H24" s="80"/>
      <c r="I24" s="33"/>
      <c r="J24" s="80"/>
      <c r="K24" s="80"/>
      <c r="L24" s="80"/>
      <c r="M24" s="80"/>
      <c r="N24" s="80"/>
      <c r="O24" s="80"/>
      <c r="P24" s="80"/>
      <c r="Q24" s="80"/>
      <c r="AMA24"/>
      <c r="AMB24"/>
      <c r="AMC24"/>
      <c r="AMD24"/>
      <c r="AME24"/>
      <c r="AMF24"/>
      <c r="AMG24"/>
      <c r="AMH24"/>
      <c r="AMI24"/>
      <c r="AMJ24"/>
    </row>
    <row r="25" spans="1:1024" s="25" customFormat="1" x14ac:dyDescent="0.25">
      <c r="A25" s="33">
        <f>IF(COUNTBLANK(B25)=1," ",COUNTA(B$14:B25))</f>
        <v>7</v>
      </c>
      <c r="B25" s="78" t="s">
        <v>52</v>
      </c>
      <c r="C25" s="36" t="s">
        <v>247</v>
      </c>
      <c r="D25" s="33" t="s">
        <v>99</v>
      </c>
      <c r="E25" s="79">
        <f>E16</f>
        <v>170.4</v>
      </c>
      <c r="F25" s="33"/>
      <c r="G25" s="80"/>
      <c r="H25" s="80"/>
      <c r="I25" s="80"/>
      <c r="J25" s="80"/>
      <c r="K25" s="80"/>
      <c r="L25" s="80"/>
      <c r="M25" s="80"/>
      <c r="N25" s="80"/>
      <c r="O25" s="80"/>
      <c r="P25" s="80"/>
      <c r="Q25" s="80"/>
      <c r="AMA25"/>
      <c r="AMB25"/>
      <c r="AMC25"/>
      <c r="AMD25"/>
      <c r="AME25"/>
      <c r="AMF25"/>
      <c r="AMG25"/>
      <c r="AMH25"/>
      <c r="AMI25"/>
      <c r="AMJ25"/>
    </row>
    <row r="26" spans="1:1024" s="158" customFormat="1" ht="22.5" x14ac:dyDescent="0.25">
      <c r="A26" s="33">
        <f>IF(COUNTBLANK(B26)=1," ",COUNTA(B$14:B26))</f>
        <v>8</v>
      </c>
      <c r="B26" s="78" t="s">
        <v>52</v>
      </c>
      <c r="C26" s="36" t="s">
        <v>248</v>
      </c>
      <c r="D26" s="33" t="s">
        <v>60</v>
      </c>
      <c r="E26" s="79">
        <f>apjomi!F32</f>
        <v>232.5</v>
      </c>
      <c r="F26" s="80"/>
      <c r="G26" s="80"/>
      <c r="H26" s="80"/>
      <c r="I26" s="87"/>
      <c r="J26" s="87"/>
      <c r="K26" s="80"/>
      <c r="L26" s="80"/>
      <c r="M26" s="80"/>
      <c r="N26" s="80"/>
      <c r="O26" s="80"/>
      <c r="P26" s="80"/>
      <c r="Q26" s="80"/>
    </row>
    <row r="27" spans="1:1024" s="25" customFormat="1" x14ac:dyDescent="0.25">
      <c r="A27" s="33" t="str">
        <f>IF(COUNTBLANK(B27)=1," ",COUNTA(B$14:B27))</f>
        <v xml:space="preserve"> </v>
      </c>
      <c r="B27" s="33"/>
      <c r="C27" s="36" t="s">
        <v>249</v>
      </c>
      <c r="D27" s="33" t="s">
        <v>70</v>
      </c>
      <c r="E27" s="80">
        <f>E26*F27</f>
        <v>1162.5</v>
      </c>
      <c r="F27" s="80">
        <v>5</v>
      </c>
      <c r="G27" s="80"/>
      <c r="H27" s="80"/>
      <c r="I27" s="80"/>
      <c r="J27" s="80"/>
      <c r="K27" s="80"/>
      <c r="L27" s="80"/>
      <c r="M27" s="80"/>
      <c r="N27" s="80"/>
      <c r="O27" s="80"/>
      <c r="P27" s="80"/>
      <c r="Q27" s="80"/>
      <c r="AMA27"/>
      <c r="AMB27"/>
      <c r="AMC27"/>
      <c r="AMD27"/>
      <c r="AME27"/>
      <c r="AMF27"/>
      <c r="AMG27"/>
      <c r="AMH27"/>
      <c r="AMI27"/>
      <c r="AMJ27"/>
    </row>
    <row r="28" spans="1:1024" s="25" customFormat="1" x14ac:dyDescent="0.25">
      <c r="A28" s="33" t="str">
        <f>IF(COUNTBLANK(B28)=1," ",COUNTA(B$14:B28))</f>
        <v xml:space="preserve"> </v>
      </c>
      <c r="B28" s="33"/>
      <c r="C28" s="36" t="s">
        <v>85</v>
      </c>
      <c r="D28" s="33" t="s">
        <v>81</v>
      </c>
      <c r="E28" s="80">
        <f>E26*F28</f>
        <v>255.75000000000003</v>
      </c>
      <c r="F28" s="80">
        <v>1.1000000000000001</v>
      </c>
      <c r="G28" s="80"/>
      <c r="H28" s="80"/>
      <c r="I28" s="80"/>
      <c r="J28" s="80"/>
      <c r="K28" s="80"/>
      <c r="L28" s="80"/>
      <c r="M28" s="80"/>
      <c r="N28" s="80"/>
      <c r="O28" s="80"/>
      <c r="P28" s="80"/>
      <c r="Q28" s="80"/>
      <c r="AMA28"/>
      <c r="AMB28"/>
      <c r="AMC28"/>
      <c r="AMD28"/>
      <c r="AME28"/>
      <c r="AMF28"/>
      <c r="AMG28"/>
      <c r="AMH28"/>
      <c r="AMI28"/>
      <c r="AMJ28"/>
    </row>
    <row r="29" spans="1:1024" s="25" customFormat="1" x14ac:dyDescent="0.25">
      <c r="A29" s="33" t="str">
        <f>IF(COUNTBLANK(B29)=1," ",COUNTA(B$14:B29))</f>
        <v xml:space="preserve"> </v>
      </c>
      <c r="B29" s="33"/>
      <c r="C29" s="36" t="s">
        <v>92</v>
      </c>
      <c r="D29" s="33" t="s">
        <v>93</v>
      </c>
      <c r="E29" s="80">
        <f>E26*F29</f>
        <v>20.925000000000001</v>
      </c>
      <c r="F29" s="80">
        <v>0.09</v>
      </c>
      <c r="G29" s="80"/>
      <c r="H29" s="80"/>
      <c r="I29" s="80"/>
      <c r="J29" s="80"/>
      <c r="K29" s="80"/>
      <c r="L29" s="80"/>
      <c r="M29" s="80"/>
      <c r="N29" s="80"/>
      <c r="O29" s="80"/>
      <c r="P29" s="80"/>
      <c r="Q29" s="80"/>
      <c r="AMA29"/>
      <c r="AMB29"/>
      <c r="AMC29"/>
      <c r="AMD29"/>
      <c r="AME29"/>
      <c r="AMF29"/>
      <c r="AMG29"/>
      <c r="AMH29"/>
      <c r="AMI29"/>
      <c r="AMJ29"/>
    </row>
    <row r="30" spans="1:1024" s="25" customFormat="1" x14ac:dyDescent="0.25">
      <c r="A30" s="33" t="str">
        <f>IF(COUNTBLANK(B30)=1," ",COUNTA(B$14:B30))</f>
        <v xml:space="preserve"> </v>
      </c>
      <c r="B30" s="33"/>
      <c r="C30" s="84" t="s">
        <v>90</v>
      </c>
      <c r="D30" s="33" t="s">
        <v>70</v>
      </c>
      <c r="E30" s="80">
        <f>E26*F30</f>
        <v>69.75</v>
      </c>
      <c r="F30" s="80">
        <v>0.3</v>
      </c>
      <c r="G30" s="80"/>
      <c r="H30" s="80"/>
      <c r="I30" s="80"/>
      <c r="J30" s="80"/>
      <c r="K30" s="80"/>
      <c r="L30" s="80"/>
      <c r="M30" s="80"/>
      <c r="N30" s="80"/>
      <c r="O30" s="80"/>
      <c r="P30" s="80"/>
      <c r="Q30" s="80"/>
      <c r="AMA30"/>
      <c r="AMB30"/>
      <c r="AMC30"/>
      <c r="AMD30"/>
      <c r="AME30"/>
      <c r="AMF30"/>
      <c r="AMG30"/>
      <c r="AMH30"/>
      <c r="AMI30"/>
      <c r="AMJ30"/>
    </row>
    <row r="31" spans="1:1024" s="25" customFormat="1" x14ac:dyDescent="0.25">
      <c r="A31" s="33" t="str">
        <f>IF(COUNTBLANK(B31)=1," ",COUNTA(B$14:B31))</f>
        <v xml:space="preserve"> </v>
      </c>
      <c r="B31" s="33"/>
      <c r="C31" s="36" t="s">
        <v>250</v>
      </c>
      <c r="D31" s="33" t="s">
        <v>70</v>
      </c>
      <c r="E31" s="80">
        <f>E26*F31</f>
        <v>1162.5</v>
      </c>
      <c r="F31" s="80">
        <v>5</v>
      </c>
      <c r="G31" s="80"/>
      <c r="H31" s="80"/>
      <c r="I31" s="80"/>
      <c r="J31" s="80"/>
      <c r="K31" s="80"/>
      <c r="L31" s="80"/>
      <c r="M31" s="80"/>
      <c r="N31" s="80"/>
      <c r="O31" s="80"/>
      <c r="P31" s="80"/>
      <c r="Q31" s="80"/>
      <c r="AMA31"/>
      <c r="AMB31"/>
      <c r="AMC31"/>
      <c r="AMD31"/>
      <c r="AME31"/>
      <c r="AMF31"/>
      <c r="AMG31"/>
      <c r="AMH31"/>
      <c r="AMI31"/>
      <c r="AMJ31"/>
    </row>
    <row r="32" spans="1:1024" s="25" customFormat="1" ht="22.5" x14ac:dyDescent="0.25">
      <c r="A32" s="33">
        <f>IF(COUNTBLANK(B32)=1," ",COUNTA(B$14:B32))</f>
        <v>9</v>
      </c>
      <c r="B32" s="78" t="s">
        <v>52</v>
      </c>
      <c r="C32" s="36" t="s">
        <v>251</v>
      </c>
      <c r="D32" s="33" t="s">
        <v>60</v>
      </c>
      <c r="E32" s="79">
        <f>apjomi!U27*0.375</f>
        <v>39.375</v>
      </c>
      <c r="F32" s="80"/>
      <c r="G32" s="80"/>
      <c r="H32" s="80"/>
      <c r="I32" s="87"/>
      <c r="J32" s="87"/>
      <c r="K32" s="80"/>
      <c r="L32" s="80"/>
      <c r="M32" s="80"/>
      <c r="N32" s="80"/>
      <c r="O32" s="80"/>
      <c r="P32" s="80"/>
      <c r="Q32" s="80"/>
      <c r="AMA32"/>
      <c r="AMB32"/>
      <c r="AMC32"/>
      <c r="AMD32"/>
      <c r="AME32"/>
      <c r="AMF32"/>
      <c r="AMG32"/>
      <c r="AMH32"/>
      <c r="AMI32"/>
      <c r="AMJ32"/>
    </row>
    <row r="33" spans="1:1024" s="25" customFormat="1" x14ac:dyDescent="0.25">
      <c r="A33" s="33" t="str">
        <f>IF(COUNTBLANK(B33)=1," ",COUNTA(B$14:B33))</f>
        <v xml:space="preserve"> </v>
      </c>
      <c r="B33" s="33"/>
      <c r="C33" s="36" t="s">
        <v>252</v>
      </c>
      <c r="D33" s="33" t="s">
        <v>70</v>
      </c>
      <c r="E33" s="80">
        <f>E32*F33</f>
        <v>196.875</v>
      </c>
      <c r="F33" s="80">
        <v>5</v>
      </c>
      <c r="G33" s="80"/>
      <c r="H33" s="80"/>
      <c r="I33" s="80"/>
      <c r="J33" s="80"/>
      <c r="K33" s="80"/>
      <c r="L33" s="80"/>
      <c r="M33" s="80"/>
      <c r="N33" s="80"/>
      <c r="O33" s="80"/>
      <c r="P33" s="80"/>
      <c r="Q33" s="80"/>
      <c r="AMA33"/>
      <c r="AMB33"/>
      <c r="AMC33"/>
      <c r="AMD33"/>
      <c r="AME33"/>
      <c r="AMF33"/>
      <c r="AMG33"/>
      <c r="AMH33"/>
      <c r="AMI33"/>
      <c r="AMJ33"/>
    </row>
    <row r="34" spans="1:1024" s="97" customFormat="1" ht="22.5" x14ac:dyDescent="0.25">
      <c r="A34" s="33" t="str">
        <f>IF(COUNTBLANK(B34)=1," ",COUNTA(B$14:B34))</f>
        <v xml:space="preserve"> </v>
      </c>
      <c r="B34" s="33"/>
      <c r="C34" s="189" t="s">
        <v>253</v>
      </c>
      <c r="D34" s="189"/>
      <c r="E34" s="189"/>
      <c r="F34" s="33"/>
      <c r="G34" s="33"/>
      <c r="H34" s="33"/>
      <c r="I34" s="33"/>
      <c r="J34" s="33"/>
      <c r="K34" s="33"/>
      <c r="L34" s="80"/>
      <c r="M34" s="80"/>
      <c r="N34" s="80"/>
      <c r="O34" s="80"/>
      <c r="P34" s="80"/>
      <c r="Q34" s="80"/>
    </row>
    <row r="35" spans="1:1024" s="158" customFormat="1" ht="11.25" x14ac:dyDescent="0.25">
      <c r="A35" s="33">
        <f>IF(COUNTBLANK(B35)=1," ",COUNTA(B$14:B35))</f>
        <v>10</v>
      </c>
      <c r="B35" s="78" t="s">
        <v>52</v>
      </c>
      <c r="C35" s="36" t="s">
        <v>254</v>
      </c>
      <c r="D35" s="33" t="s">
        <v>60</v>
      </c>
      <c r="E35" s="79">
        <f>apjomi!U27*0.7</f>
        <v>73.5</v>
      </c>
      <c r="F35" s="33"/>
      <c r="G35" s="80"/>
      <c r="H35" s="80"/>
      <c r="I35" s="87"/>
      <c r="J35" s="87"/>
      <c r="K35" s="80"/>
      <c r="L35" s="80"/>
      <c r="M35" s="80"/>
      <c r="N35" s="80"/>
      <c r="O35" s="80"/>
      <c r="P35" s="80"/>
      <c r="Q35" s="80"/>
    </row>
    <row r="36" spans="1:1024" s="25" customFormat="1" x14ac:dyDescent="0.25">
      <c r="A36" s="33">
        <f>IF(COUNTBLANK(B36)=1," ",COUNTA(B$14:B36))</f>
        <v>11</v>
      </c>
      <c r="B36" s="78" t="s">
        <v>52</v>
      </c>
      <c r="C36" s="36" t="s">
        <v>255</v>
      </c>
      <c r="D36" s="33" t="s">
        <v>99</v>
      </c>
      <c r="E36" s="79">
        <f>E35*0.1</f>
        <v>7.3500000000000005</v>
      </c>
      <c r="F36" s="190"/>
      <c r="G36" s="80"/>
      <c r="H36" s="80"/>
      <c r="I36" s="80"/>
      <c r="J36" s="80"/>
      <c r="K36" s="80"/>
      <c r="L36" s="80"/>
      <c r="M36" s="80"/>
      <c r="N36" s="80"/>
      <c r="O36" s="80"/>
      <c r="P36" s="80"/>
      <c r="Q36" s="80"/>
      <c r="AMA36"/>
      <c r="AMB36"/>
      <c r="AMC36"/>
      <c r="AMD36"/>
      <c r="AME36"/>
      <c r="AMF36"/>
      <c r="AMG36"/>
      <c r="AMH36"/>
      <c r="AMI36"/>
      <c r="AMJ36"/>
    </row>
    <row r="37" spans="1:1024" s="25" customFormat="1" x14ac:dyDescent="0.25">
      <c r="A37" s="33" t="str">
        <f>IF(COUNTBLANK(B37)=1," ",COUNTA(B$14:B37))</f>
        <v xml:space="preserve"> </v>
      </c>
      <c r="B37" s="33"/>
      <c r="C37" s="36" t="s">
        <v>256</v>
      </c>
      <c r="D37" s="33" t="s">
        <v>257</v>
      </c>
      <c r="E37" s="80">
        <f>E36*F37</f>
        <v>8.0850000000000009</v>
      </c>
      <c r="F37" s="80">
        <v>1.1000000000000001</v>
      </c>
      <c r="G37" s="80"/>
      <c r="H37" s="80"/>
      <c r="I37" s="80"/>
      <c r="J37" s="80"/>
      <c r="K37" s="80"/>
      <c r="L37" s="80"/>
      <c r="M37" s="80"/>
      <c r="N37" s="80"/>
      <c r="O37" s="80"/>
      <c r="P37" s="80"/>
      <c r="Q37" s="80"/>
      <c r="AMA37"/>
      <c r="AMB37"/>
      <c r="AMC37"/>
      <c r="AMD37"/>
      <c r="AME37"/>
      <c r="AMF37"/>
      <c r="AMG37"/>
      <c r="AMH37"/>
      <c r="AMI37"/>
      <c r="AMJ37"/>
    </row>
    <row r="38" spans="1:1024" s="25" customFormat="1" x14ac:dyDescent="0.25">
      <c r="A38" s="33">
        <f>IF(COUNTBLANK(B38)=1," ",COUNTA(B$14:B38))</f>
        <v>12</v>
      </c>
      <c r="B38" s="78" t="s">
        <v>52</v>
      </c>
      <c r="C38" s="36" t="s">
        <v>258</v>
      </c>
      <c r="D38" s="33" t="s">
        <v>99</v>
      </c>
      <c r="E38" s="79">
        <v>4.8</v>
      </c>
      <c r="F38" s="33"/>
      <c r="G38" s="80"/>
      <c r="H38" s="80"/>
      <c r="I38" s="87"/>
      <c r="J38" s="87"/>
      <c r="K38" s="80"/>
      <c r="L38" s="80"/>
      <c r="M38" s="80"/>
      <c r="N38" s="80"/>
      <c r="O38" s="80"/>
      <c r="P38" s="80"/>
      <c r="Q38" s="80"/>
      <c r="AMA38"/>
      <c r="AMB38"/>
      <c r="AMC38"/>
      <c r="AMD38"/>
      <c r="AME38"/>
      <c r="AMF38"/>
      <c r="AMG38"/>
      <c r="AMH38"/>
      <c r="AMI38"/>
      <c r="AMJ38"/>
    </row>
    <row r="39" spans="1:1024" s="25" customFormat="1" x14ac:dyDescent="0.25">
      <c r="A39" s="33">
        <f>IF(COUNTBLANK(B39)=1," ",COUNTA(B$14:B39))</f>
        <v>13</v>
      </c>
      <c r="B39" s="78" t="s">
        <v>52</v>
      </c>
      <c r="C39" s="36" t="s">
        <v>259</v>
      </c>
      <c r="D39" s="33" t="s">
        <v>99</v>
      </c>
      <c r="E39" s="79">
        <f>E35*0.05</f>
        <v>3.6750000000000003</v>
      </c>
      <c r="F39" s="190"/>
      <c r="G39" s="80"/>
      <c r="H39" s="80"/>
      <c r="I39" s="80"/>
      <c r="J39" s="80"/>
      <c r="K39" s="80"/>
      <c r="L39" s="80"/>
      <c r="M39" s="80"/>
      <c r="N39" s="80"/>
      <c r="O39" s="80"/>
      <c r="P39" s="80"/>
      <c r="Q39" s="80"/>
      <c r="AMA39"/>
      <c r="AMB39"/>
      <c r="AMC39"/>
      <c r="AMD39"/>
      <c r="AME39"/>
      <c r="AMF39"/>
      <c r="AMG39"/>
      <c r="AMH39"/>
      <c r="AMI39"/>
      <c r="AMJ39"/>
    </row>
    <row r="40" spans="1:1024" s="25" customFormat="1" x14ac:dyDescent="0.25">
      <c r="A40" s="33" t="str">
        <f>IF(COUNTBLANK(B40)=1," ",COUNTA(B$14:B40))</f>
        <v xml:space="preserve"> </v>
      </c>
      <c r="B40" s="33"/>
      <c r="C40" s="36" t="s">
        <v>256</v>
      </c>
      <c r="D40" s="33" t="s">
        <v>257</v>
      </c>
      <c r="E40" s="80">
        <f>E39*F40</f>
        <v>4.0425000000000004</v>
      </c>
      <c r="F40" s="80">
        <v>1.1000000000000001</v>
      </c>
      <c r="G40" s="80"/>
      <c r="H40" s="80"/>
      <c r="I40" s="80"/>
      <c r="J40" s="80"/>
      <c r="K40" s="80"/>
      <c r="L40" s="80"/>
      <c r="M40" s="80"/>
      <c r="N40" s="80"/>
      <c r="O40" s="80"/>
      <c r="P40" s="80"/>
      <c r="Q40" s="80"/>
      <c r="AMA40"/>
      <c r="AMB40"/>
      <c r="AMC40"/>
      <c r="AMD40"/>
      <c r="AME40"/>
      <c r="AMF40"/>
      <c r="AMG40"/>
      <c r="AMH40"/>
      <c r="AMI40"/>
      <c r="AMJ40"/>
    </row>
    <row r="41" spans="1:1024" s="25" customFormat="1" x14ac:dyDescent="0.25">
      <c r="A41" s="33">
        <f>IF(COUNTBLANK(B41)=1," ",COUNTA(B$14:B41))</f>
        <v>14</v>
      </c>
      <c r="B41" s="78" t="s">
        <v>52</v>
      </c>
      <c r="C41" s="36" t="s">
        <v>260</v>
      </c>
      <c r="D41" s="33" t="s">
        <v>99</v>
      </c>
      <c r="E41" s="79">
        <f>E39</f>
        <v>3.6750000000000003</v>
      </c>
      <c r="F41" s="190"/>
      <c r="G41" s="80"/>
      <c r="H41" s="80"/>
      <c r="I41" s="80"/>
      <c r="J41" s="80"/>
      <c r="K41" s="80"/>
      <c r="L41" s="80"/>
      <c r="M41" s="80"/>
      <c r="N41" s="80"/>
      <c r="O41" s="80"/>
      <c r="P41" s="80"/>
      <c r="Q41" s="80"/>
      <c r="AMA41"/>
      <c r="AMB41"/>
      <c r="AMC41"/>
      <c r="AMD41"/>
      <c r="AME41"/>
      <c r="AMF41"/>
      <c r="AMG41"/>
      <c r="AMH41"/>
      <c r="AMI41"/>
      <c r="AMJ41"/>
    </row>
    <row r="42" spans="1:1024" s="40" customFormat="1" ht="11.25" x14ac:dyDescent="0.25">
      <c r="A42" s="33" t="str">
        <f>IF(COUNTBLANK(B42)=1," ",COUNTA(B$14:B42))</f>
        <v xml:space="preserve"> </v>
      </c>
      <c r="B42" s="33"/>
      <c r="C42" s="36" t="s">
        <v>261</v>
      </c>
      <c r="D42" s="33" t="s">
        <v>257</v>
      </c>
      <c r="E42" s="80">
        <f>E41*F42</f>
        <v>4.0425000000000004</v>
      </c>
      <c r="F42" s="80">
        <v>1.1000000000000001</v>
      </c>
      <c r="G42" s="80"/>
      <c r="H42" s="80"/>
      <c r="I42" s="80"/>
      <c r="J42" s="80"/>
      <c r="K42" s="80"/>
      <c r="L42" s="80"/>
      <c r="M42" s="80"/>
      <c r="N42" s="80"/>
      <c r="O42" s="80"/>
      <c r="P42" s="80"/>
      <c r="Q42" s="80"/>
    </row>
    <row r="43" spans="1:1024" s="25" customFormat="1" x14ac:dyDescent="0.25">
      <c r="A43" s="33">
        <f>IF(COUNTBLANK(B43)=1," ",COUNTA(B$14:B43))</f>
        <v>15</v>
      </c>
      <c r="B43" s="78" t="s">
        <v>52</v>
      </c>
      <c r="C43" s="36" t="s">
        <v>262</v>
      </c>
      <c r="D43" s="33" t="s">
        <v>60</v>
      </c>
      <c r="E43" s="79">
        <f>E35</f>
        <v>73.5</v>
      </c>
      <c r="F43" s="80"/>
      <c r="G43" s="80"/>
      <c r="H43" s="80"/>
      <c r="I43" s="80"/>
      <c r="J43" s="87"/>
      <c r="K43" s="80"/>
      <c r="L43" s="80"/>
      <c r="M43" s="80"/>
      <c r="N43" s="80"/>
      <c r="O43" s="80"/>
      <c r="P43" s="80"/>
      <c r="Q43" s="80"/>
      <c r="AMA43"/>
      <c r="AMB43"/>
      <c r="AMC43"/>
      <c r="AMD43"/>
      <c r="AME43"/>
      <c r="AMF43"/>
      <c r="AMG43"/>
      <c r="AMH43"/>
      <c r="AMI43"/>
      <c r="AMJ43"/>
    </row>
    <row r="44" spans="1:1024" s="158" customFormat="1" ht="11.25" x14ac:dyDescent="0.25">
      <c r="A44" s="33" t="str">
        <f>IF(COUNTBLANK(B44)=1," ",COUNTA(B$14:B44))</f>
        <v xml:space="preserve"> </v>
      </c>
      <c r="B44" s="33"/>
      <c r="C44" s="36" t="s">
        <v>263</v>
      </c>
      <c r="D44" s="80" t="s">
        <v>60</v>
      </c>
      <c r="E44" s="80">
        <f>E43*F44</f>
        <v>77.174999999999997</v>
      </c>
      <c r="F44" s="80">
        <v>1.05</v>
      </c>
      <c r="G44" s="80"/>
      <c r="H44" s="80"/>
      <c r="I44" s="80"/>
      <c r="J44" s="80"/>
      <c r="K44" s="80"/>
      <c r="L44" s="80"/>
      <c r="M44" s="80"/>
      <c r="N44" s="80"/>
      <c r="O44" s="80"/>
      <c r="P44" s="80"/>
      <c r="Q44" s="80"/>
    </row>
    <row r="45" spans="1:1024" s="191" customFormat="1" ht="11.25" x14ac:dyDescent="0.25">
      <c r="A45" s="33" t="str">
        <f>IF(COUNTBLANK(B45)=1," ",COUNTA(B$14:B45))</f>
        <v xml:space="preserve"> </v>
      </c>
      <c r="B45" s="33"/>
      <c r="C45" s="36" t="s">
        <v>264</v>
      </c>
      <c r="D45" s="80" t="s">
        <v>99</v>
      </c>
      <c r="E45" s="80">
        <f>E43*F45</f>
        <v>5.1450000000000005</v>
      </c>
      <c r="F45" s="80">
        <v>7.0000000000000007E-2</v>
      </c>
      <c r="G45" s="80"/>
      <c r="H45" s="80"/>
      <c r="I45" s="80"/>
      <c r="J45" s="80"/>
      <c r="K45" s="80"/>
      <c r="L45" s="80"/>
      <c r="M45" s="80"/>
      <c r="N45" s="80"/>
      <c r="O45" s="80"/>
      <c r="P45" s="80"/>
      <c r="Q45" s="80"/>
    </row>
    <row r="46" spans="1:1024" s="158" customFormat="1" ht="11.25" x14ac:dyDescent="0.25">
      <c r="A46" s="33">
        <f>IF(COUNTBLANK(B46)=1," ",COUNTA(B$14:B46))</f>
        <v>16</v>
      </c>
      <c r="B46" s="78" t="s">
        <v>52</v>
      </c>
      <c r="C46" s="36" t="s">
        <v>265</v>
      </c>
      <c r="D46" s="33" t="s">
        <v>54</v>
      </c>
      <c r="E46" s="79">
        <v>58.9</v>
      </c>
      <c r="F46" s="33"/>
      <c r="G46" s="80"/>
      <c r="H46" s="80"/>
      <c r="I46" s="80"/>
      <c r="J46" s="80"/>
      <c r="K46" s="80"/>
      <c r="L46" s="80"/>
      <c r="M46" s="80"/>
      <c r="N46" s="80"/>
      <c r="O46" s="80"/>
      <c r="P46" s="80"/>
      <c r="Q46" s="80"/>
    </row>
    <row r="47" spans="1:1024" x14ac:dyDescent="0.25">
      <c r="A47" s="37"/>
      <c r="B47" s="192"/>
      <c r="C47" s="193"/>
      <c r="D47" s="37"/>
      <c r="E47" s="100"/>
      <c r="F47" s="100"/>
      <c r="G47" s="100"/>
      <c r="H47" s="100"/>
      <c r="I47" s="100"/>
      <c r="J47" s="100"/>
      <c r="K47" s="100"/>
      <c r="L47" s="100"/>
      <c r="M47" s="100"/>
      <c r="N47" s="100"/>
      <c r="O47" s="100"/>
      <c r="P47" s="100"/>
      <c r="Q47" s="100"/>
    </row>
    <row r="48" spans="1:1024" x14ac:dyDescent="0.25">
      <c r="A48" s="104"/>
      <c r="B48" s="104"/>
      <c r="C48" s="38" t="s">
        <v>101</v>
      </c>
      <c r="D48" s="104"/>
      <c r="E48" s="104"/>
      <c r="F48" s="104"/>
      <c r="G48" s="25"/>
      <c r="H48" s="104"/>
      <c r="I48" s="104"/>
      <c r="J48" s="104"/>
      <c r="K48" s="104"/>
      <c r="L48" s="100"/>
      <c r="M48" s="100">
        <f>SUMIF($Q14:$Q46,"&gt;0",M14:M46)</f>
        <v>0</v>
      </c>
      <c r="N48" s="100">
        <f>SUMIF($Q14:$Q46,"&gt;0",N14:N46)</f>
        <v>0</v>
      </c>
      <c r="O48" s="100">
        <f>SUMIF($Q14:$Q46,"&gt;0",O14:O46)</f>
        <v>0</v>
      </c>
      <c r="P48" s="100">
        <f>SUMIF($Q14:$Q46,"&gt;0",P14:P46)</f>
        <v>0</v>
      </c>
      <c r="Q48" s="100">
        <f>SUMIF($Q14:$Q46,"&gt;0",Q14:Q46)</f>
        <v>0</v>
      </c>
    </row>
    <row r="49" spans="1:17" x14ac:dyDescent="0.25">
      <c r="A49" s="37" t="str">
        <f>IF(COUNTBLANK(I49)=1," ",COUNTA($I$19:I49))</f>
        <v xml:space="preserve"> </v>
      </c>
      <c r="B49" s="37"/>
      <c r="C49" s="104" t="s">
        <v>102</v>
      </c>
      <c r="D49" s="38"/>
      <c r="E49" s="104"/>
      <c r="F49" s="37"/>
      <c r="G49" s="184">
        <f>pagrabs!G26</f>
        <v>0</v>
      </c>
      <c r="H49" s="37"/>
      <c r="I49" s="37"/>
      <c r="J49" s="37"/>
      <c r="K49" s="37"/>
      <c r="L49" s="37"/>
      <c r="M49" s="100"/>
      <c r="N49" s="100"/>
      <c r="O49" s="100">
        <f>O48*G49</f>
        <v>0</v>
      </c>
      <c r="P49" s="100"/>
      <c r="Q49" s="100"/>
    </row>
    <row r="50" spans="1:17" x14ac:dyDescent="0.25">
      <c r="A50" s="37" t="str">
        <f>IF(COUNTBLANK(I50)=1," ",COUNTA($I$19:I50))</f>
        <v xml:space="preserve"> </v>
      </c>
      <c r="B50" s="37"/>
      <c r="C50" s="38" t="s">
        <v>103</v>
      </c>
      <c r="D50" s="37"/>
      <c r="E50" s="37"/>
      <c r="F50" s="37"/>
      <c r="G50" s="37"/>
      <c r="H50" s="104"/>
      <c r="I50" s="37"/>
      <c r="J50" s="37"/>
      <c r="K50" s="37"/>
      <c r="L50" s="37"/>
      <c r="M50" s="100">
        <f>SUM(M48:M49)</f>
        <v>0</v>
      </c>
      <c r="N50" s="100">
        <f>SUM(N48:N49)</f>
        <v>0</v>
      </c>
      <c r="O50" s="100">
        <f>SUM(O48:O49)</f>
        <v>0</v>
      </c>
      <c r="P50" s="100">
        <f>SUM(P48:P49)</f>
        <v>0</v>
      </c>
      <c r="Q50" s="100">
        <f>SUM(N50:P50)</f>
        <v>0</v>
      </c>
    </row>
    <row r="51" spans="1:17" x14ac:dyDescent="0.25">
      <c r="A51" s="104"/>
      <c r="B51" s="104"/>
      <c r="C51" s="38"/>
      <c r="D51" s="104"/>
      <c r="E51" s="104"/>
      <c r="F51" s="104"/>
      <c r="H51" s="104"/>
      <c r="I51" s="104"/>
      <c r="J51" s="104"/>
      <c r="K51" s="104"/>
      <c r="L51" s="104"/>
      <c r="M51" s="104"/>
      <c r="N51" s="104"/>
      <c r="O51" s="104"/>
      <c r="P51" s="104"/>
      <c r="Q51" s="104"/>
    </row>
    <row r="52" spans="1:17" x14ac:dyDescent="0.25">
      <c r="A52" s="104"/>
      <c r="B52" s="104"/>
      <c r="C52" s="53" t="s">
        <v>27</v>
      </c>
      <c r="D52" s="23"/>
      <c r="E52" s="27"/>
      <c r="F52" s="104"/>
      <c r="H52" s="104"/>
      <c r="I52" s="104"/>
      <c r="J52" s="104"/>
      <c r="K52" s="104"/>
      <c r="L52" s="104"/>
      <c r="M52" s="104"/>
      <c r="N52" s="104"/>
      <c r="O52" s="104"/>
      <c r="P52" s="104"/>
      <c r="Q52" s="104"/>
    </row>
    <row r="53" spans="1:17" x14ac:dyDescent="0.25">
      <c r="C53" s="54" t="s">
        <v>28</v>
      </c>
      <c r="D53" s="23"/>
      <c r="E53" s="27"/>
    </row>
    <row r="54" spans="1:17" x14ac:dyDescent="0.25">
      <c r="C54" s="43"/>
      <c r="D54" s="23"/>
      <c r="E54" s="27"/>
    </row>
    <row r="55" spans="1:17" x14ac:dyDescent="0.25">
      <c r="C55" s="55" t="s">
        <v>29</v>
      </c>
      <c r="D55" s="23"/>
      <c r="E55" s="27"/>
    </row>
    <row r="56" spans="1:17" x14ac:dyDescent="0.25">
      <c r="C56" s="48" t="s">
        <v>30</v>
      </c>
      <c r="D56" s="23"/>
      <c r="E56" s="27"/>
    </row>
  </sheetData>
  <mergeCells count="8">
    <mergeCell ref="A9:P9"/>
    <mergeCell ref="A11:A12"/>
    <mergeCell ref="B11:B12"/>
    <mergeCell ref="C11:C12"/>
    <mergeCell ref="D11:D12"/>
    <mergeCell ref="E11:E12"/>
    <mergeCell ref="G11:L11"/>
    <mergeCell ref="M11:Q11"/>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MK31"/>
  <sheetViews>
    <sheetView zoomScaleNormal="100" workbookViewId="0">
      <selection activeCell="C25" sqref="C25"/>
    </sheetView>
  </sheetViews>
  <sheetFormatPr defaultRowHeight="15" x14ac:dyDescent="0.25"/>
  <cols>
    <col min="1" max="1" width="2.28515625" style="58"/>
    <col min="2" max="2" width="4.28515625" style="58"/>
    <col min="3" max="3" width="45.28515625" style="194"/>
    <col min="4" max="4" width="3.5703125" style="58"/>
    <col min="5" max="5" width="6.42578125" style="58"/>
    <col min="6" max="6" width="0" style="58" hidden="1"/>
    <col min="7" max="17" width="8.7109375" style="58"/>
    <col min="18" max="1021" width="8.28515625" style="58"/>
    <col min="1022" max="1025" width="8.7109375" style="58"/>
  </cols>
  <sheetData>
    <row r="1" spans="1:1024" s="154" customFormat="1" ht="11.25" x14ac:dyDescent="0.2">
      <c r="A1" s="12" t="s">
        <v>31</v>
      </c>
      <c r="B1" s="12"/>
      <c r="C1" s="12"/>
      <c r="D1" s="12"/>
      <c r="E1" s="12"/>
      <c r="F1" s="12"/>
      <c r="G1" s="12"/>
      <c r="H1" s="19">
        <v>2</v>
      </c>
      <c r="I1" s="19"/>
      <c r="J1" s="19"/>
      <c r="K1" s="19"/>
      <c r="L1" s="19"/>
      <c r="M1" s="19"/>
      <c r="N1" s="19"/>
      <c r="O1" s="19"/>
      <c r="P1" s="19"/>
      <c r="Q1" s="19"/>
    </row>
    <row r="2" spans="1:1024" s="157" customFormat="1" ht="11.25" x14ac:dyDescent="0.2">
      <c r="A2" s="21"/>
      <c r="B2" s="19"/>
      <c r="C2" s="20" t="s">
        <v>266</v>
      </c>
      <c r="D2" s="19"/>
      <c r="E2" s="19"/>
      <c r="F2" s="19"/>
      <c r="G2" s="19"/>
      <c r="H2" s="156"/>
      <c r="I2" s="156"/>
      <c r="J2" s="156"/>
      <c r="K2" s="156"/>
      <c r="L2" s="156"/>
      <c r="M2" s="156"/>
      <c r="N2" s="156"/>
      <c r="O2" s="156"/>
      <c r="P2" s="156"/>
      <c r="Q2" s="156"/>
    </row>
    <row r="3" spans="1:1024" x14ac:dyDescent="0.25">
      <c r="A3" s="23" t="str">
        <f>KPDV!A3</f>
        <v>Būves nosaukums: Daudzdzīvokļu dzīvojamās mājas fasādes vienkāršotā atjaunošana</v>
      </c>
      <c r="B3" s="38"/>
      <c r="C3" s="183"/>
      <c r="D3" s="38"/>
      <c r="E3" s="38"/>
      <c r="F3" s="38"/>
      <c r="G3" s="38"/>
      <c r="H3" s="38"/>
      <c r="I3" s="38"/>
      <c r="J3" s="38"/>
      <c r="K3" s="38"/>
      <c r="L3" s="38"/>
      <c r="M3" s="37"/>
      <c r="N3" s="37"/>
      <c r="O3" s="37"/>
      <c r="P3" s="37"/>
      <c r="Q3" s="15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1" customHeight="1" x14ac:dyDescent="0.25">
      <c r="A4" s="23" t="str">
        <f>KPDV!A4</f>
        <v>Objekta nosaukums: Daudzdzīvokļu dzīvojamās mājas Ed. Tisē ielā 48, Liepājā, 
fasādes vienkāršotā atjaunošana</v>
      </c>
      <c r="B4" s="52"/>
      <c r="C4" s="195"/>
      <c r="D4" s="52"/>
      <c r="E4" s="52"/>
      <c r="F4" s="52"/>
      <c r="G4" s="52"/>
      <c r="H4" s="52"/>
      <c r="I4" s="31"/>
      <c r="J4" s="31"/>
      <c r="K4" s="37"/>
      <c r="L4" s="37"/>
      <c r="M4" s="37"/>
      <c r="N4" s="37"/>
      <c r="O4" s="37"/>
      <c r="P4" s="37"/>
      <c r="Q4" s="15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s="27" t="str">
        <f>KPDV!A5</f>
        <v>Objekta adrese: Tisē iela 48 Liepājā</v>
      </c>
      <c r="B5" s="31"/>
      <c r="C5" s="23"/>
      <c r="D5" s="31"/>
      <c r="E5" s="52"/>
      <c r="F5" s="52"/>
      <c r="G5" s="31"/>
      <c r="H5" s="31"/>
      <c r="I5" s="31"/>
      <c r="J5" s="31"/>
      <c r="K5" s="37"/>
      <c r="L5" s="37"/>
      <c r="M5" s="37"/>
      <c r="N5" s="37"/>
      <c r="O5" s="37"/>
      <c r="P5" s="37"/>
      <c r="Q5" s="15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27" t="str">
        <f>KPDV!A6</f>
        <v>Pasūtījuma Nr.WS-64-15</v>
      </c>
      <c r="B6" s="31"/>
      <c r="C6" s="23"/>
      <c r="D6" s="31"/>
      <c r="E6" s="31"/>
      <c r="F6" s="31"/>
      <c r="G6" s="31"/>
      <c r="H6" s="31"/>
      <c r="I6" s="31"/>
      <c r="J6" s="31"/>
      <c r="K6" s="37"/>
      <c r="L6" s="37"/>
      <c r="M6" s="37"/>
      <c r="N6" s="37"/>
      <c r="O6" s="37"/>
      <c r="P6" s="37"/>
      <c r="Q6" s="15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27" t="str">
        <f>KPDV!A7</f>
        <v>Pasūtītājs: SIA "Liepājas namu apsaimniekotājs"</v>
      </c>
      <c r="B7" s="31"/>
      <c r="C7" s="23"/>
      <c r="D7" s="31"/>
      <c r="E7" s="31"/>
      <c r="F7" s="31"/>
      <c r="G7" s="31"/>
      <c r="H7" s="31"/>
      <c r="I7" s="31"/>
      <c r="J7" s="31"/>
      <c r="K7" s="37"/>
      <c r="L7" s="37"/>
      <c r="M7" s="37"/>
      <c r="N7" s="37"/>
      <c r="O7" s="37"/>
      <c r="P7" s="37"/>
      <c r="Q7" s="15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293" t="s">
        <v>33</v>
      </c>
      <c r="B8" s="293"/>
      <c r="C8" s="293"/>
      <c r="D8" s="293"/>
      <c r="E8" s="62" t="s">
        <v>34</v>
      </c>
      <c r="F8" s="62"/>
      <c r="G8" s="294" t="s">
        <v>35</v>
      </c>
      <c r="H8" s="294"/>
      <c r="I8" s="294"/>
      <c r="J8" s="294"/>
      <c r="K8" s="104"/>
      <c r="L8" s="104"/>
      <c r="M8" s="104"/>
      <c r="N8" s="104" t="s">
        <v>188</v>
      </c>
      <c r="O8" s="104"/>
      <c r="P8" s="159">
        <f>Q25</f>
        <v>0</v>
      </c>
      <c r="Q8" s="160" t="s">
        <v>189</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3.9" customHeight="1" x14ac:dyDescent="0.25">
      <c r="A9" s="21"/>
      <c r="B9" s="156"/>
      <c r="C9" s="21"/>
      <c r="D9" s="156"/>
      <c r="E9" s="156"/>
      <c r="F9" s="156"/>
      <c r="G9" s="156"/>
      <c r="H9" s="156"/>
      <c r="I9" s="156"/>
      <c r="J9" s="156"/>
      <c r="K9" s="156"/>
      <c r="L9" s="156"/>
      <c r="M9" s="156"/>
      <c r="N9" s="298" t="s">
        <v>267</v>
      </c>
      <c r="O9" s="298"/>
      <c r="P9" s="298"/>
      <c r="Q9" s="298"/>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4.25" customHeight="1" x14ac:dyDescent="0.25">
      <c r="A10" s="296" t="s">
        <v>37</v>
      </c>
      <c r="B10" s="8" t="s">
        <v>38</v>
      </c>
      <c r="C10" s="299" t="s">
        <v>39</v>
      </c>
      <c r="D10" s="6" t="s">
        <v>40</v>
      </c>
      <c r="E10" s="8" t="s">
        <v>41</v>
      </c>
      <c r="F10" s="65"/>
      <c r="G10" s="5" t="s">
        <v>42</v>
      </c>
      <c r="H10" s="5"/>
      <c r="I10" s="5"/>
      <c r="J10" s="5"/>
      <c r="K10" s="5"/>
      <c r="L10" s="5"/>
      <c r="M10" s="5" t="s">
        <v>43</v>
      </c>
      <c r="N10" s="5"/>
      <c r="O10" s="5"/>
      <c r="P10" s="5"/>
      <c r="Q10" s="5"/>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4" x14ac:dyDescent="0.25">
      <c r="A11" s="296"/>
      <c r="B11" s="8"/>
      <c r="C11" s="299"/>
      <c r="D11" s="6"/>
      <c r="E11" s="8"/>
      <c r="F11" s="67"/>
      <c r="G11" s="68" t="s">
        <v>44</v>
      </c>
      <c r="H11" s="69" t="s">
        <v>45</v>
      </c>
      <c r="I11" s="70" t="s">
        <v>46</v>
      </c>
      <c r="J11" s="70" t="s">
        <v>47</v>
      </c>
      <c r="K11" s="70" t="s">
        <v>48</v>
      </c>
      <c r="L11" s="71" t="s">
        <v>49</v>
      </c>
      <c r="M11" s="68" t="s">
        <v>50</v>
      </c>
      <c r="N11" s="70" t="s">
        <v>46</v>
      </c>
      <c r="O11" s="70" t="s">
        <v>47</v>
      </c>
      <c r="P11" s="70" t="s">
        <v>48</v>
      </c>
      <c r="Q11" s="71" t="s">
        <v>51</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161">
        <v>1</v>
      </c>
      <c r="B12" s="72">
        <f>A12+1</f>
        <v>2</v>
      </c>
      <c r="C12" s="73">
        <f>B12+1</f>
        <v>3</v>
      </c>
      <c r="D12" s="72">
        <f>C12+1</f>
        <v>4</v>
      </c>
      <c r="E12" s="72">
        <f>D12+1</f>
        <v>5</v>
      </c>
      <c r="F12" s="74"/>
      <c r="G12" s="75">
        <f>E12+1</f>
        <v>6</v>
      </c>
      <c r="H12" s="76">
        <f t="shared" ref="H12:Q12" si="0">G12+1</f>
        <v>7</v>
      </c>
      <c r="I12" s="76">
        <f t="shared" si="0"/>
        <v>8</v>
      </c>
      <c r="J12" s="76">
        <f t="shared" si="0"/>
        <v>9</v>
      </c>
      <c r="K12" s="77">
        <f t="shared" si="0"/>
        <v>10</v>
      </c>
      <c r="L12" s="72">
        <f t="shared" si="0"/>
        <v>11</v>
      </c>
      <c r="M12" s="75">
        <f t="shared" si="0"/>
        <v>12</v>
      </c>
      <c r="N12" s="76">
        <f t="shared" si="0"/>
        <v>13</v>
      </c>
      <c r="O12" s="76">
        <f t="shared" si="0"/>
        <v>14</v>
      </c>
      <c r="P12" s="76">
        <f t="shared" si="0"/>
        <v>15</v>
      </c>
      <c r="Q12" s="77">
        <f t="shared" si="0"/>
        <v>16</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90"/>
      <c r="B13" s="196"/>
      <c r="C13" s="197" t="s">
        <v>268</v>
      </c>
      <c r="D13" s="86"/>
      <c r="E13" s="80"/>
      <c r="F13" s="80"/>
      <c r="G13" s="80"/>
      <c r="H13" s="80"/>
      <c r="I13" s="80"/>
      <c r="J13" s="80"/>
      <c r="K13" s="80"/>
      <c r="L13" s="198"/>
      <c r="M13" s="198"/>
      <c r="N13" s="198"/>
      <c r="O13" s="198"/>
      <c r="P13" s="198"/>
      <c r="Q13" s="19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6.85" customHeight="1" x14ac:dyDescent="0.25">
      <c r="A14" s="33" t="str">
        <f>IF(COUNTBLANK(I14)=1," ",COUNTA(I$14:I14))</f>
        <v xml:space="preserve"> </v>
      </c>
      <c r="B14" s="78" t="s">
        <v>52</v>
      </c>
      <c r="C14" s="199" t="s">
        <v>269</v>
      </c>
      <c r="D14" s="200" t="s">
        <v>54</v>
      </c>
      <c r="E14" s="200">
        <v>13.845000000000001</v>
      </c>
      <c r="F14" s="200"/>
      <c r="G14" s="80"/>
      <c r="H14" s="80"/>
      <c r="I14" s="80"/>
      <c r="J14" s="80"/>
      <c r="K14" s="80"/>
      <c r="L14" s="201"/>
      <c r="M14" s="202"/>
      <c r="N14" s="202"/>
      <c r="O14" s="202"/>
      <c r="P14" s="202"/>
      <c r="Q14" s="202"/>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33" t="str">
        <f>IF(COUNTBLANK(I15)=1," ",COUNTA(I$14:I15))</f>
        <v xml:space="preserve"> </v>
      </c>
      <c r="B15" s="203"/>
      <c r="C15" s="203" t="s">
        <v>270</v>
      </c>
      <c r="D15" s="200" t="s">
        <v>70</v>
      </c>
      <c r="E15" s="200">
        <v>17.244</v>
      </c>
      <c r="F15" s="200"/>
      <c r="G15" s="204"/>
      <c r="H15" s="204"/>
      <c r="I15" s="205"/>
      <c r="J15" s="205"/>
      <c r="K15" s="200"/>
      <c r="L15" s="201"/>
      <c r="M15" s="202"/>
      <c r="N15" s="202"/>
      <c r="O15" s="202"/>
      <c r="P15" s="202"/>
      <c r="Q15" s="202"/>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3" t="str">
        <f>IF(COUNTBLANK(I16)=1," ",COUNTA(I$14:I16))</f>
        <v xml:space="preserve"> </v>
      </c>
      <c r="B16" s="203"/>
      <c r="C16" s="203" t="s">
        <v>271</v>
      </c>
      <c r="D16" s="200" t="s">
        <v>56</v>
      </c>
      <c r="E16" s="200">
        <v>24</v>
      </c>
      <c r="F16" s="200"/>
      <c r="G16" s="204"/>
      <c r="H16" s="204"/>
      <c r="I16" s="205"/>
      <c r="J16" s="205"/>
      <c r="K16" s="200"/>
      <c r="L16" s="201"/>
      <c r="M16" s="202"/>
      <c r="N16" s="202"/>
      <c r="O16" s="202"/>
      <c r="P16" s="202"/>
      <c r="Q16" s="202"/>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33" t="str">
        <f>IF(COUNTBLANK(I17)=1," ",COUNTA(I$14:I17))</f>
        <v xml:space="preserve"> </v>
      </c>
      <c r="B17" s="203"/>
      <c r="C17" s="203" t="s">
        <v>272</v>
      </c>
      <c r="D17" s="200" t="s">
        <v>70</v>
      </c>
      <c r="E17" s="205">
        <v>9.2676479999999994</v>
      </c>
      <c r="F17" s="205"/>
      <c r="G17" s="205"/>
      <c r="H17" s="205"/>
      <c r="I17" s="206"/>
      <c r="J17" s="206"/>
      <c r="K17" s="205"/>
      <c r="L17" s="201"/>
      <c r="M17" s="202"/>
      <c r="N17" s="202"/>
      <c r="O17" s="202"/>
      <c r="P17" s="202"/>
      <c r="Q17" s="202"/>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33" t="str">
        <f>IF(COUNTBLANK(I18)=1," ",COUNTA(I$14:I18))</f>
        <v xml:space="preserve"> </v>
      </c>
      <c r="B18" s="203"/>
      <c r="C18" s="203" t="s">
        <v>273</v>
      </c>
      <c r="D18" s="200" t="s">
        <v>70</v>
      </c>
      <c r="E18" s="205">
        <v>2.6853120000000001</v>
      </c>
      <c r="F18" s="205"/>
      <c r="G18" s="205"/>
      <c r="H18" s="205"/>
      <c r="I18" s="206"/>
      <c r="J18" s="206"/>
      <c r="K18" s="205"/>
      <c r="L18" s="201"/>
      <c r="M18" s="202"/>
      <c r="N18" s="202"/>
      <c r="O18" s="202"/>
      <c r="P18" s="202"/>
      <c r="Q18" s="202"/>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33" t="str">
        <f>IF(COUNTBLANK(I19)=1," ",COUNTA(I$14:I19))</f>
        <v xml:space="preserve"> </v>
      </c>
      <c r="B19" s="203"/>
      <c r="C19" s="203" t="s">
        <v>274</v>
      </c>
      <c r="D19" s="85" t="s">
        <v>99</v>
      </c>
      <c r="E19" s="206">
        <v>8.8312500000000002E-2</v>
      </c>
      <c r="F19" s="206"/>
      <c r="G19" s="203"/>
      <c r="H19" s="203"/>
      <c r="I19" s="203"/>
      <c r="J19" s="203"/>
      <c r="K19" s="203"/>
      <c r="L19" s="201"/>
      <c r="M19" s="202"/>
      <c r="N19" s="202"/>
      <c r="O19" s="202"/>
      <c r="P19" s="202"/>
      <c r="Q19" s="202"/>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26" customFormat="1" ht="11.25" x14ac:dyDescent="0.2">
      <c r="A20" s="33" t="str">
        <f>IF(COUNTBLANK(I20)=1," ",COUNTA(I$14:I20))</f>
        <v xml:space="preserve"> </v>
      </c>
      <c r="B20" s="78" t="s">
        <v>52</v>
      </c>
      <c r="C20" s="203" t="s">
        <v>275</v>
      </c>
      <c r="D20" s="200" t="s">
        <v>60</v>
      </c>
      <c r="E20" s="205">
        <v>1.1412360479999999</v>
      </c>
      <c r="F20" s="80"/>
      <c r="G20" s="80"/>
      <c r="H20" s="80"/>
      <c r="I20" s="80"/>
      <c r="J20" s="80"/>
      <c r="K20" s="83"/>
      <c r="L20" s="201"/>
      <c r="M20" s="202"/>
      <c r="N20" s="202"/>
      <c r="O20" s="202"/>
      <c r="P20" s="202"/>
      <c r="Q20" s="202"/>
    </row>
    <row r="21" spans="1:1024" s="27" customFormat="1" ht="11.25" x14ac:dyDescent="0.25">
      <c r="A21" s="33" t="str">
        <f>IF(COUNTBLANK(I21)=1," ",COUNTA(I$14:I21))</f>
        <v xml:space="preserve"> </v>
      </c>
      <c r="B21" s="33"/>
      <c r="C21" s="84" t="s">
        <v>276</v>
      </c>
      <c r="D21" s="33" t="s">
        <v>70</v>
      </c>
      <c r="E21" s="80">
        <f>E20*F21</f>
        <v>0.4564944192</v>
      </c>
      <c r="F21" s="80">
        <v>0.4</v>
      </c>
      <c r="G21" s="80"/>
      <c r="H21" s="80"/>
      <c r="I21" s="80"/>
      <c r="J21" s="80"/>
      <c r="K21" s="83"/>
      <c r="L21" s="201"/>
      <c r="M21" s="202"/>
      <c r="N21" s="202"/>
      <c r="O21" s="202"/>
      <c r="P21" s="202"/>
      <c r="Q21" s="202"/>
    </row>
    <row r="22" spans="1:1024" x14ac:dyDescent="0.25">
      <c r="A22" s="33" t="str">
        <f>IF(COUNTBLANK(I22)=1," ",COUNTA(I$14:I22))</f>
        <v xml:space="preserve"> </v>
      </c>
      <c r="B22" s="203"/>
      <c r="C22"/>
      <c r="D22" s="203"/>
      <c r="E22" s="203"/>
      <c r="F22" s="203"/>
      <c r="G22" s="203"/>
      <c r="H22" s="203"/>
      <c r="I22" s="203"/>
      <c r="J22" s="203"/>
      <c r="K22" s="203"/>
      <c r="L22" s="201"/>
      <c r="M22" s="202"/>
      <c r="N22" s="202"/>
      <c r="O22" s="202"/>
      <c r="P22" s="202"/>
      <c r="Q22" s="20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211" customFormat="1" ht="11.25" x14ac:dyDescent="0.2">
      <c r="A23" s="207"/>
      <c r="B23" s="208"/>
      <c r="C23" s="209" t="s">
        <v>101</v>
      </c>
      <c r="D23" s="37"/>
      <c r="E23" s="37"/>
      <c r="F23" s="100"/>
      <c r="G23" s="100"/>
      <c r="H23" s="100"/>
      <c r="I23" s="210"/>
      <c r="J23" s="210"/>
      <c r="K23" s="100"/>
      <c r="L23" s="100"/>
      <c r="M23" s="100">
        <f>SUMIF($Q14:$Q22,"&gt;0",M14:M22)</f>
        <v>0</v>
      </c>
      <c r="N23" s="100">
        <f>SUMIF($Q14:$Q22,"&gt;0",N14:N22)</f>
        <v>0</v>
      </c>
      <c r="O23" s="100">
        <f>SUMIF($Q14:$Q22,"&gt;0",O14:O22)</f>
        <v>0</v>
      </c>
      <c r="P23" s="100">
        <f>SUMIF($Q14:$Q22,"&gt;0",P14:P22)</f>
        <v>0</v>
      </c>
      <c r="Q23" s="100">
        <f>SUMIF($Q14:$Q22,"&gt;0",Q14:Q22)</f>
        <v>0</v>
      </c>
    </row>
    <row r="24" spans="1:1024" s="212" customFormat="1" ht="11.25" x14ac:dyDescent="0.2">
      <c r="C24" s="209" t="s">
        <v>102</v>
      </c>
      <c r="G24" s="213">
        <v>0</v>
      </c>
      <c r="M24" s="100"/>
      <c r="N24" s="100"/>
      <c r="O24" s="100">
        <f>O23*G24</f>
        <v>0</v>
      </c>
      <c r="P24" s="100"/>
      <c r="Q24" s="100"/>
    </row>
    <row r="25" spans="1:1024" x14ac:dyDescent="0.25">
      <c r="A25" s="212"/>
      <c r="B25" s="212"/>
      <c r="C25" s="209" t="s">
        <v>103</v>
      </c>
      <c r="D25" s="212"/>
      <c r="E25" s="212"/>
      <c r="F25" s="212"/>
      <c r="G25" s="157"/>
      <c r="H25" s="212"/>
      <c r="I25" s="212"/>
      <c r="J25" s="212"/>
      <c r="K25" s="212"/>
      <c r="L25" s="212"/>
      <c r="M25" s="100">
        <f>SUM(M23:M24)</f>
        <v>0</v>
      </c>
      <c r="N25" s="100">
        <f>SUM(N23:N24)</f>
        <v>0</v>
      </c>
      <c r="O25" s="100">
        <f>SUM(O23:O24)</f>
        <v>0</v>
      </c>
      <c r="P25" s="100">
        <f>SUM(P23:P24)</f>
        <v>0</v>
      </c>
      <c r="Q25" s="100">
        <f>SUM(N25:P25)</f>
        <v>0</v>
      </c>
    </row>
    <row r="26" spans="1:1024" x14ac:dyDescent="0.25">
      <c r="A26" s="212"/>
      <c r="B26" s="212"/>
      <c r="C26" s="209"/>
      <c r="D26" s="212"/>
      <c r="E26" s="212"/>
      <c r="F26" s="212"/>
      <c r="G26" s="157"/>
      <c r="H26" s="212"/>
      <c r="I26" s="212"/>
      <c r="J26" s="212"/>
      <c r="K26" s="212"/>
      <c r="L26" s="212"/>
    </row>
    <row r="27" spans="1:1024" x14ac:dyDescent="0.25">
      <c r="A27" s="212"/>
      <c r="B27" s="212"/>
      <c r="C27" s="53" t="s">
        <v>27</v>
      </c>
      <c r="D27" s="212"/>
      <c r="E27" s="212"/>
      <c r="F27" s="212"/>
      <c r="G27" s="157"/>
      <c r="H27" s="212"/>
      <c r="I27" s="212"/>
      <c r="J27" s="212"/>
      <c r="K27" s="212"/>
      <c r="L27" s="212"/>
    </row>
    <row r="28" spans="1:1024" x14ac:dyDescent="0.25">
      <c r="A28" s="212"/>
      <c r="B28" s="212"/>
      <c r="C28" s="54" t="s">
        <v>28</v>
      </c>
      <c r="D28" s="212"/>
      <c r="E28" s="212"/>
      <c r="F28" s="212"/>
    </row>
    <row r="29" spans="1:1024" x14ac:dyDescent="0.25">
      <c r="C29" s="43"/>
    </row>
    <row r="30" spans="1:1024" x14ac:dyDescent="0.25">
      <c r="C30" s="55" t="s">
        <v>29</v>
      </c>
    </row>
    <row r="31" spans="1:1024" x14ac:dyDescent="0.25">
      <c r="C31" s="48" t="s">
        <v>30</v>
      </c>
    </row>
  </sheetData>
  <mergeCells count="11">
    <mergeCell ref="A1:G1"/>
    <mergeCell ref="A8:D8"/>
    <mergeCell ref="G8:J8"/>
    <mergeCell ref="N9:Q9"/>
    <mergeCell ref="A10:A11"/>
    <mergeCell ref="B10:B11"/>
    <mergeCell ref="C10:C11"/>
    <mergeCell ref="D10:D11"/>
    <mergeCell ref="E10:E11"/>
    <mergeCell ref="G10:L10"/>
    <mergeCell ref="M10:Q10"/>
  </mergeCells>
  <pageMargins left="0" right="0" top="0.78749999999999998" bottom="0.39374999999999999"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MK120"/>
  <sheetViews>
    <sheetView topLeftCell="A76" zoomScaleNormal="100" workbookViewId="0">
      <selection activeCell="C93" sqref="C93"/>
    </sheetView>
  </sheetViews>
  <sheetFormatPr defaultRowHeight="15" x14ac:dyDescent="0.25"/>
  <cols>
    <col min="1" max="1" width="4.7109375" style="58"/>
    <col min="2" max="2" width="4.28515625" style="58"/>
    <col min="3" max="3" width="43.5703125" style="16"/>
    <col min="4" max="4" width="3.5703125" style="58"/>
    <col min="5" max="5" width="6.42578125" style="58"/>
    <col min="6" max="6" width="0" style="58" hidden="1"/>
    <col min="7" max="17" width="9" style="58"/>
    <col min="18" max="1016" width="8.28515625" style="58"/>
    <col min="1017" max="1025" width="8.7109375" style="58"/>
  </cols>
  <sheetData>
    <row r="1" spans="1:17" s="154" customFormat="1" ht="11.25" x14ac:dyDescent="0.2">
      <c r="A1" s="12" t="s">
        <v>31</v>
      </c>
      <c r="B1" s="12"/>
      <c r="C1" s="12"/>
      <c r="D1" s="12"/>
      <c r="E1" s="12"/>
      <c r="F1" s="12"/>
      <c r="G1" s="12"/>
      <c r="H1" s="19">
        <v>2</v>
      </c>
      <c r="I1" s="19"/>
      <c r="J1" s="19"/>
      <c r="K1" s="19"/>
      <c r="L1" s="19"/>
      <c r="M1" s="19"/>
      <c r="N1" s="19"/>
      <c r="O1" s="19"/>
      <c r="P1" s="19"/>
      <c r="Q1" s="19"/>
    </row>
    <row r="2" spans="1:17" s="157" customFormat="1" ht="11.25" x14ac:dyDescent="0.2">
      <c r="A2" s="21"/>
      <c r="B2" s="19"/>
      <c r="C2" s="155" t="s">
        <v>277</v>
      </c>
      <c r="D2" s="19"/>
      <c r="E2" s="19"/>
      <c r="F2" s="19"/>
      <c r="G2" s="19"/>
      <c r="H2" s="156"/>
      <c r="I2" s="156"/>
      <c r="J2" s="156"/>
      <c r="K2" s="156"/>
      <c r="L2" s="156"/>
      <c r="M2" s="156"/>
      <c r="N2" s="156"/>
      <c r="O2" s="156"/>
      <c r="P2" s="156"/>
      <c r="Q2" s="156"/>
    </row>
    <row r="3" spans="1:17" x14ac:dyDescent="0.25">
      <c r="A3" s="23" t="str">
        <f>KPDV!A3</f>
        <v>Būves nosaukums: Daudzdzīvokļu dzīvojamās mājas fasādes vienkāršotā atjaunošana</v>
      </c>
      <c r="B3" s="38"/>
      <c r="C3" s="38"/>
      <c r="D3" s="38"/>
      <c r="E3" s="38"/>
      <c r="F3" s="38"/>
      <c r="G3" s="38"/>
      <c r="H3" s="38"/>
      <c r="I3" s="38"/>
      <c r="J3" s="38"/>
      <c r="K3" s="38"/>
      <c r="L3" s="38"/>
      <c r="M3" s="37"/>
      <c r="N3" s="37"/>
      <c r="O3" s="37"/>
      <c r="P3" s="37"/>
      <c r="Q3" s="156"/>
    </row>
    <row r="4" spans="1:17" ht="21.6" customHeight="1" x14ac:dyDescent="0.25">
      <c r="A4" s="23" t="str">
        <f>KPDV!A4</f>
        <v>Objekta nosaukums: Daudzdzīvokļu dzīvojamās mājas Ed. Tisē ielā 48, Liepājā, 
fasādes vienkāršotā atjaunošana</v>
      </c>
      <c r="B4" s="52"/>
      <c r="C4" s="52"/>
      <c r="D4" s="52"/>
      <c r="E4" s="52"/>
      <c r="F4" s="52"/>
      <c r="G4" s="52"/>
      <c r="H4" s="52"/>
      <c r="I4" s="31"/>
      <c r="J4" s="31"/>
      <c r="K4" s="37"/>
      <c r="L4" s="37"/>
      <c r="M4" s="37"/>
      <c r="N4" s="37"/>
      <c r="O4" s="37"/>
      <c r="P4" s="37"/>
      <c r="Q4" s="156"/>
    </row>
    <row r="5" spans="1:17" x14ac:dyDescent="0.25">
      <c r="A5" s="27" t="str">
        <f>KPDV!A5</f>
        <v>Objekta adrese: Tisē iela 48 Liepājā</v>
      </c>
      <c r="B5" s="31"/>
      <c r="C5" s="27"/>
      <c r="D5" s="31"/>
      <c r="E5" s="52"/>
      <c r="F5" s="52"/>
      <c r="G5" s="31"/>
      <c r="H5" s="31"/>
      <c r="I5" s="31"/>
      <c r="J5" s="31"/>
      <c r="K5" s="37"/>
      <c r="L5" s="37"/>
      <c r="M5" s="37"/>
      <c r="N5" s="37"/>
      <c r="O5" s="37"/>
      <c r="P5" s="37"/>
      <c r="Q5" s="156"/>
    </row>
    <row r="6" spans="1:17" x14ac:dyDescent="0.25">
      <c r="A6" s="27" t="str">
        <f>KPDV!A6</f>
        <v>Pasūtījuma Nr.WS-64-15</v>
      </c>
      <c r="B6" s="31"/>
      <c r="C6" s="27"/>
      <c r="D6" s="31"/>
      <c r="E6" s="31"/>
      <c r="F6" s="31"/>
      <c r="G6" s="31"/>
      <c r="H6" s="31"/>
      <c r="I6" s="31"/>
      <c r="J6" s="31"/>
      <c r="K6" s="37"/>
      <c r="L6" s="37"/>
      <c r="M6" s="37"/>
      <c r="N6" s="37"/>
      <c r="O6" s="37"/>
      <c r="P6" s="37"/>
      <c r="Q6" s="156"/>
    </row>
    <row r="7" spans="1:17" x14ac:dyDescent="0.25">
      <c r="A7" s="27" t="str">
        <f>KPDV!A7</f>
        <v>Pasūtītājs: SIA "Liepājas namu apsaimniekotājs"</v>
      </c>
      <c r="B7" s="31"/>
      <c r="C7" s="27"/>
      <c r="D7" s="31"/>
      <c r="E7" s="31"/>
      <c r="F7" s="31"/>
      <c r="G7" s="31"/>
      <c r="H7" s="31"/>
      <c r="I7" s="31"/>
      <c r="J7" s="31"/>
      <c r="K7" s="37"/>
      <c r="L7" s="37"/>
      <c r="M7" s="37"/>
      <c r="N7" s="37"/>
      <c r="O7" s="37"/>
      <c r="P7" s="37"/>
      <c r="Q7" s="156"/>
    </row>
    <row r="8" spans="1:17" x14ac:dyDescent="0.25">
      <c r="A8" s="293" t="s">
        <v>33</v>
      </c>
      <c r="B8" s="293"/>
      <c r="C8" s="293"/>
      <c r="D8" s="293"/>
      <c r="E8" s="62" t="s">
        <v>34</v>
      </c>
      <c r="F8" s="156"/>
      <c r="G8" s="294" t="s">
        <v>35</v>
      </c>
      <c r="H8" s="294"/>
      <c r="I8" s="294"/>
      <c r="J8" s="294"/>
      <c r="K8" s="104"/>
      <c r="L8" s="104"/>
      <c r="M8" s="104"/>
      <c r="N8" s="104" t="s">
        <v>188</v>
      </c>
      <c r="O8" s="104"/>
      <c r="P8" s="159">
        <f>Q114</f>
        <v>0</v>
      </c>
      <c r="Q8" s="160" t="s">
        <v>189</v>
      </c>
    </row>
    <row r="9" spans="1:17" ht="13.9" customHeight="1" x14ac:dyDescent="0.25">
      <c r="A9" s="21"/>
      <c r="B9" s="156"/>
      <c r="C9" s="104"/>
      <c r="D9" s="156"/>
      <c r="E9" s="156"/>
      <c r="F9" s="156"/>
      <c r="G9" s="156"/>
      <c r="H9" s="156"/>
      <c r="I9" s="156"/>
      <c r="J9" s="156"/>
      <c r="K9" s="156"/>
      <c r="L9" s="156"/>
      <c r="M9" s="156"/>
      <c r="N9" s="298" t="s">
        <v>278</v>
      </c>
      <c r="O9" s="298"/>
      <c r="P9" s="298"/>
      <c r="Q9" s="298"/>
    </row>
    <row r="10" spans="1:17" ht="14.25" customHeight="1" x14ac:dyDescent="0.25">
      <c r="A10" s="300" t="s">
        <v>37</v>
      </c>
      <c r="B10" s="301" t="s">
        <v>38</v>
      </c>
      <c r="C10" s="302" t="s">
        <v>39</v>
      </c>
      <c r="D10" s="303" t="s">
        <v>40</v>
      </c>
      <c r="E10" s="301" t="s">
        <v>41</v>
      </c>
      <c r="F10" s="214"/>
      <c r="G10" s="304" t="s">
        <v>42</v>
      </c>
      <c r="H10" s="304"/>
      <c r="I10" s="304"/>
      <c r="J10" s="304"/>
      <c r="K10" s="304"/>
      <c r="L10" s="304"/>
      <c r="M10" s="304" t="s">
        <v>43</v>
      </c>
      <c r="N10" s="304"/>
      <c r="O10" s="304"/>
      <c r="P10" s="304"/>
      <c r="Q10" s="304"/>
    </row>
    <row r="11" spans="1:17" ht="54" x14ac:dyDescent="0.25">
      <c r="A11" s="300"/>
      <c r="B11" s="301"/>
      <c r="C11" s="302"/>
      <c r="D11" s="303"/>
      <c r="E11" s="301"/>
      <c r="F11" s="214"/>
      <c r="G11" s="214" t="s">
        <v>44</v>
      </c>
      <c r="H11" s="214" t="s">
        <v>45</v>
      </c>
      <c r="I11" s="215" t="s">
        <v>46</v>
      </c>
      <c r="J11" s="215" t="s">
        <v>47</v>
      </c>
      <c r="K11" s="215" t="s">
        <v>48</v>
      </c>
      <c r="L11" s="215" t="s">
        <v>49</v>
      </c>
      <c r="M11" s="214" t="s">
        <v>50</v>
      </c>
      <c r="N11" s="215" t="s">
        <v>46</v>
      </c>
      <c r="O11" s="215" t="s">
        <v>47</v>
      </c>
      <c r="P11" s="215" t="s">
        <v>48</v>
      </c>
      <c r="Q11" s="215" t="s">
        <v>51</v>
      </c>
    </row>
    <row r="12" spans="1:17" x14ac:dyDescent="0.25">
      <c r="A12" s="216">
        <v>1</v>
      </c>
      <c r="B12" s="217">
        <f>A12+1</f>
        <v>2</v>
      </c>
      <c r="C12" s="218">
        <f>B12+1</f>
        <v>3</v>
      </c>
      <c r="D12" s="217">
        <f>C12+1</f>
        <v>4</v>
      </c>
      <c r="E12" s="217">
        <f>D12+1</f>
        <v>5</v>
      </c>
      <c r="F12" s="219"/>
      <c r="G12" s="220">
        <f>E12+1</f>
        <v>6</v>
      </c>
      <c r="H12" s="221">
        <f t="shared" ref="H12:Q12" si="0">G12+1</f>
        <v>7</v>
      </c>
      <c r="I12" s="221">
        <f t="shared" si="0"/>
        <v>8</v>
      </c>
      <c r="J12" s="221">
        <f t="shared" si="0"/>
        <v>9</v>
      </c>
      <c r="K12" s="222">
        <f t="shared" si="0"/>
        <v>10</v>
      </c>
      <c r="L12" s="217">
        <f t="shared" si="0"/>
        <v>11</v>
      </c>
      <c r="M12" s="220">
        <f t="shared" si="0"/>
        <v>12</v>
      </c>
      <c r="N12" s="221">
        <f t="shared" si="0"/>
        <v>13</v>
      </c>
      <c r="O12" s="221">
        <f t="shared" si="0"/>
        <v>14</v>
      </c>
      <c r="P12" s="221">
        <f t="shared" si="0"/>
        <v>15</v>
      </c>
      <c r="Q12" s="222">
        <f t="shared" si="0"/>
        <v>16</v>
      </c>
    </row>
    <row r="13" spans="1:17" x14ac:dyDescent="0.25">
      <c r="A13" s="33">
        <f>IF(COUNTBLANK(B13)=1," ",COUNTA($B$13:B13))</f>
        <v>1</v>
      </c>
      <c r="B13" s="78" t="s">
        <v>52</v>
      </c>
      <c r="C13" s="36" t="s">
        <v>279</v>
      </c>
      <c r="D13" s="33" t="s">
        <v>60</v>
      </c>
      <c r="E13" s="79">
        <v>10</v>
      </c>
      <c r="F13" s="80"/>
      <c r="G13" s="80"/>
      <c r="H13" s="223"/>
      <c r="I13" s="87"/>
      <c r="J13" s="87"/>
      <c r="K13" s="80"/>
      <c r="L13" s="201"/>
      <c r="M13" s="202"/>
      <c r="N13" s="202"/>
      <c r="O13" s="202"/>
      <c r="P13" s="202"/>
      <c r="Q13" s="202"/>
    </row>
    <row r="14" spans="1:17" ht="20.85" customHeight="1" x14ac:dyDescent="0.25">
      <c r="A14" s="33">
        <f>IF(COUNTBLANK(B14)=1," ",COUNTA($B$13:B14))</f>
        <v>2</v>
      </c>
      <c r="B14" s="78" t="s">
        <v>52</v>
      </c>
      <c r="C14" s="36" t="s">
        <v>280</v>
      </c>
      <c r="D14" s="33" t="s">
        <v>212</v>
      </c>
      <c r="E14" s="79">
        <v>5</v>
      </c>
      <c r="F14" s="80"/>
      <c r="G14" s="80"/>
      <c r="H14" s="223"/>
      <c r="I14" s="87"/>
      <c r="J14" s="87"/>
      <c r="K14" s="80"/>
      <c r="L14" s="201"/>
      <c r="M14" s="202"/>
      <c r="N14" s="202"/>
      <c r="O14" s="202"/>
      <c r="P14" s="202"/>
      <c r="Q14" s="202"/>
    </row>
    <row r="15" spans="1:17" x14ac:dyDescent="0.25">
      <c r="A15" s="33">
        <f>IF(COUNTBLANK(B15)=1," ",COUNTA($B$13:B15))</f>
        <v>3</v>
      </c>
      <c r="B15" s="78" t="s">
        <v>52</v>
      </c>
      <c r="C15" s="36" t="s">
        <v>281</v>
      </c>
      <c r="D15" s="33" t="s">
        <v>212</v>
      </c>
      <c r="E15" s="79">
        <v>3</v>
      </c>
      <c r="F15" s="80"/>
      <c r="G15" s="80"/>
      <c r="H15" s="223"/>
      <c r="I15" s="87"/>
      <c r="J15" s="87"/>
      <c r="K15" s="80"/>
      <c r="L15" s="201"/>
      <c r="M15" s="202"/>
      <c r="N15" s="202"/>
      <c r="O15" s="202"/>
      <c r="P15" s="202"/>
      <c r="Q15" s="202"/>
    </row>
    <row r="16" spans="1:17" ht="22.5" x14ac:dyDescent="0.25">
      <c r="A16" s="33">
        <f>IF(COUNTBLANK(B16)=1," ",COUNTA($B$13:B16))</f>
        <v>4</v>
      </c>
      <c r="B16" s="78" t="s">
        <v>52</v>
      </c>
      <c r="C16" s="36" t="s">
        <v>282</v>
      </c>
      <c r="D16" s="90" t="s">
        <v>56</v>
      </c>
      <c r="E16" s="79">
        <v>3</v>
      </c>
      <c r="F16" s="80"/>
      <c r="G16" s="80"/>
      <c r="H16" s="223"/>
      <c r="I16" s="87"/>
      <c r="J16" s="87"/>
      <c r="K16" s="80"/>
      <c r="L16" s="201"/>
      <c r="M16" s="202"/>
      <c r="N16" s="202"/>
      <c r="O16" s="202"/>
      <c r="P16" s="202"/>
      <c r="Q16" s="202"/>
    </row>
    <row r="17" spans="1:17" x14ac:dyDescent="0.25">
      <c r="A17" s="33">
        <f>IF(COUNTBLANK(B17)=1," ",COUNTA($B$13:B17))</f>
        <v>5</v>
      </c>
      <c r="B17" s="78" t="s">
        <v>52</v>
      </c>
      <c r="C17" s="36" t="s">
        <v>283</v>
      </c>
      <c r="D17" s="33" t="s">
        <v>60</v>
      </c>
      <c r="E17" s="79">
        <f>apjomi!D39+apjomi!D40</f>
        <v>740</v>
      </c>
      <c r="F17" s="80"/>
      <c r="G17" s="80"/>
      <c r="H17" s="223"/>
      <c r="I17" s="87"/>
      <c r="J17" s="87"/>
      <c r="K17" s="80"/>
      <c r="L17" s="201"/>
      <c r="M17" s="202"/>
      <c r="N17" s="202"/>
      <c r="O17" s="202"/>
      <c r="P17" s="202"/>
      <c r="Q17" s="202"/>
    </row>
    <row r="18" spans="1:17" ht="22.5" x14ac:dyDescent="0.25">
      <c r="A18" s="33">
        <f>IF(COUNTBLANK(B18)=1," ",COUNTA($B$13:B18))</f>
        <v>6</v>
      </c>
      <c r="B18" s="78" t="s">
        <v>52</v>
      </c>
      <c r="C18" s="36" t="s">
        <v>284</v>
      </c>
      <c r="D18" s="33" t="s">
        <v>60</v>
      </c>
      <c r="E18" s="79">
        <f>E17</f>
        <v>740</v>
      </c>
      <c r="F18" s="80"/>
      <c r="G18" s="80"/>
      <c r="H18" s="223"/>
      <c r="I18" s="87"/>
      <c r="J18" s="87"/>
      <c r="K18" s="80"/>
      <c r="L18" s="201"/>
      <c r="M18" s="202"/>
      <c r="N18" s="202"/>
      <c r="O18" s="202"/>
      <c r="P18" s="202"/>
      <c r="Q18" s="202"/>
    </row>
    <row r="19" spans="1:17" x14ac:dyDescent="0.25">
      <c r="A19" s="33">
        <f>IF(COUNTBLANK(B19)=1," ",COUNTA($B$13:B19))</f>
        <v>7</v>
      </c>
      <c r="B19" s="78" t="s">
        <v>52</v>
      </c>
      <c r="C19" s="36" t="s">
        <v>285</v>
      </c>
      <c r="D19" s="33" t="s">
        <v>60</v>
      </c>
      <c r="E19" s="79">
        <v>450</v>
      </c>
      <c r="F19" s="80"/>
      <c r="G19" s="80"/>
      <c r="H19" s="223"/>
      <c r="I19" s="87"/>
      <c r="J19" s="87"/>
      <c r="K19" s="80"/>
      <c r="L19" s="201"/>
      <c r="M19" s="202"/>
      <c r="N19" s="202"/>
      <c r="O19" s="202"/>
      <c r="P19" s="202"/>
      <c r="Q19" s="202"/>
    </row>
    <row r="20" spans="1:17" x14ac:dyDescent="0.25">
      <c r="A20" s="33">
        <f>IF(COUNTBLANK(B20)=1," ",COUNTA($B$13:B20))</f>
        <v>8</v>
      </c>
      <c r="B20" s="78" t="s">
        <v>52</v>
      </c>
      <c r="C20" s="36" t="s">
        <v>286</v>
      </c>
      <c r="D20" s="33" t="s">
        <v>54</v>
      </c>
      <c r="E20" s="79">
        <v>145</v>
      </c>
      <c r="F20" s="80"/>
      <c r="G20" s="80"/>
      <c r="H20" s="223"/>
      <c r="I20" s="80"/>
      <c r="J20" s="87"/>
      <c r="K20" s="80"/>
      <c r="L20" s="201"/>
      <c r="M20" s="202"/>
      <c r="N20" s="202"/>
      <c r="O20" s="202"/>
      <c r="P20" s="202"/>
      <c r="Q20" s="202"/>
    </row>
    <row r="21" spans="1:17" x14ac:dyDescent="0.25">
      <c r="A21" s="33">
        <f>IF(COUNTBLANK(B21)=1," ",COUNTA($B$13:B21))</f>
        <v>9</v>
      </c>
      <c r="B21" s="78" t="s">
        <v>52</v>
      </c>
      <c r="C21" s="189" t="s">
        <v>287</v>
      </c>
      <c r="D21" s="33"/>
      <c r="E21" s="224"/>
      <c r="F21" s="80"/>
      <c r="G21" s="80"/>
      <c r="H21" s="223"/>
      <c r="I21" s="80"/>
      <c r="J21" s="80"/>
      <c r="K21" s="80"/>
      <c r="L21" s="201"/>
      <c r="M21" s="202"/>
      <c r="N21" s="202"/>
      <c r="O21" s="202"/>
      <c r="P21" s="202"/>
      <c r="Q21" s="202"/>
    </row>
    <row r="22" spans="1:17" x14ac:dyDescent="0.25">
      <c r="A22" s="33" t="str">
        <f>IF(COUNTBLANK(B22)=1," ",COUNTA($B$13:B22))</f>
        <v xml:space="preserve"> </v>
      </c>
      <c r="B22"/>
      <c r="C22" s="36" t="s">
        <v>288</v>
      </c>
      <c r="D22" s="33" t="s">
        <v>60</v>
      </c>
      <c r="E22" s="79">
        <f>apjomi!D39*jumts!F22</f>
        <v>925</v>
      </c>
      <c r="F22" s="80">
        <v>1.25</v>
      </c>
      <c r="G22" s="80"/>
      <c r="H22" s="223"/>
      <c r="I22" s="80"/>
      <c r="J22" s="87"/>
      <c r="K22" s="80"/>
      <c r="L22" s="201"/>
      <c r="M22" s="202"/>
      <c r="N22" s="202"/>
      <c r="O22" s="202"/>
      <c r="P22" s="202"/>
      <c r="Q22" s="202"/>
    </row>
    <row r="23" spans="1:17" ht="33.75" x14ac:dyDescent="0.25">
      <c r="A23" s="33" t="str">
        <f>IF(COUNTBLANK(B23)=1," ",COUNTA($B$13:B23))</f>
        <v xml:space="preserve"> </v>
      </c>
      <c r="B23" s="78"/>
      <c r="C23" s="36" t="s">
        <v>289</v>
      </c>
      <c r="D23" s="33" t="s">
        <v>60</v>
      </c>
      <c r="E23" s="79">
        <f>apjomi!D39</f>
        <v>740</v>
      </c>
      <c r="F23" s="80">
        <v>1.05</v>
      </c>
      <c r="G23" s="80"/>
      <c r="H23" s="223"/>
      <c r="I23" s="80"/>
      <c r="J23" s="87"/>
      <c r="K23" s="80"/>
      <c r="L23" s="201"/>
      <c r="M23" s="202"/>
      <c r="N23" s="202"/>
      <c r="O23" s="202"/>
      <c r="P23" s="202"/>
      <c r="Q23" s="202"/>
    </row>
    <row r="24" spans="1:17" ht="22.5" x14ac:dyDescent="0.25">
      <c r="A24" s="33" t="str">
        <f>IF(COUNTBLANK(B24)=1," ",COUNTA($B$13:B24))</f>
        <v xml:space="preserve"> </v>
      </c>
      <c r="B24" s="78"/>
      <c r="C24" s="36" t="s">
        <v>290</v>
      </c>
      <c r="D24" s="33" t="s">
        <v>60</v>
      </c>
      <c r="E24" s="79">
        <f>E23</f>
        <v>740</v>
      </c>
      <c r="F24" s="80">
        <v>1.05</v>
      </c>
      <c r="G24" s="80"/>
      <c r="H24" s="223"/>
      <c r="I24" s="80"/>
      <c r="J24" s="87"/>
      <c r="K24" s="80"/>
      <c r="L24" s="201"/>
      <c r="M24" s="202"/>
      <c r="N24" s="202"/>
      <c r="O24" s="202"/>
      <c r="P24" s="202"/>
      <c r="Q24" s="202"/>
    </row>
    <row r="25" spans="1:17" ht="22.5" x14ac:dyDescent="0.25">
      <c r="A25" s="33" t="str">
        <f>IF(COUNTBLANK(B25)=1," ",COUNTA($B$13:B25))</f>
        <v xml:space="preserve"> </v>
      </c>
      <c r="B25" s="78"/>
      <c r="C25" s="36" t="s">
        <v>291</v>
      </c>
      <c r="D25" s="33" t="s">
        <v>60</v>
      </c>
      <c r="E25" s="79">
        <f>E22</f>
        <v>925</v>
      </c>
      <c r="F25" s="80"/>
      <c r="G25" s="80"/>
      <c r="H25" s="223"/>
      <c r="I25" s="80"/>
      <c r="J25" s="87"/>
      <c r="K25" s="80"/>
      <c r="L25" s="201"/>
      <c r="M25" s="202"/>
      <c r="N25" s="202"/>
      <c r="O25" s="202"/>
      <c r="P25" s="202"/>
      <c r="Q25" s="202"/>
    </row>
    <row r="26" spans="1:17" ht="30.4" customHeight="1" x14ac:dyDescent="0.25">
      <c r="A26" s="33" t="str">
        <f>IF(COUNTBLANK(B26)=1," ",COUNTA($B$13:B26))</f>
        <v xml:space="preserve"> </v>
      </c>
      <c r="B26" s="78"/>
      <c r="C26" s="36" t="s">
        <v>292</v>
      </c>
      <c r="D26" s="90" t="s">
        <v>56</v>
      </c>
      <c r="E26" s="79">
        <v>1356</v>
      </c>
      <c r="F26" s="80"/>
      <c r="G26" s="80"/>
      <c r="H26" s="223"/>
      <c r="I26" s="80"/>
      <c r="J26" s="87"/>
      <c r="K26" s="80"/>
      <c r="L26" s="201"/>
      <c r="M26" s="202"/>
      <c r="N26" s="202"/>
      <c r="O26" s="202"/>
      <c r="P26" s="202"/>
      <c r="Q26" s="202"/>
    </row>
    <row r="27" spans="1:17" ht="33.75" x14ac:dyDescent="0.25">
      <c r="A27" s="33" t="str">
        <f>IF(COUNTBLANK(B27)=1," ",COUNTA($B$13:B27))</f>
        <v xml:space="preserve"> </v>
      </c>
      <c r="B27" s="78"/>
      <c r="C27" s="36" t="s">
        <v>293</v>
      </c>
      <c r="D27" s="90" t="s">
        <v>56</v>
      </c>
      <c r="E27" s="79">
        <v>619</v>
      </c>
      <c r="F27" s="80"/>
      <c r="G27" s="80"/>
      <c r="H27" s="223"/>
      <c r="I27" s="80"/>
      <c r="J27" s="87"/>
      <c r="K27" s="80"/>
      <c r="L27" s="201"/>
      <c r="M27" s="202"/>
      <c r="N27" s="202"/>
      <c r="O27" s="202"/>
      <c r="P27" s="202"/>
      <c r="Q27" s="202"/>
    </row>
    <row r="28" spans="1:17" ht="33.75" x14ac:dyDescent="0.25">
      <c r="A28" s="33" t="str">
        <f>IF(COUNTBLANK(B28)=1," ",COUNTA($B$13:B28))</f>
        <v xml:space="preserve"> </v>
      </c>
      <c r="B28" s="78"/>
      <c r="C28" s="36" t="s">
        <v>294</v>
      </c>
      <c r="D28" s="90" t="s">
        <v>56</v>
      </c>
      <c r="E28" s="79">
        <v>395</v>
      </c>
      <c r="F28" s="80"/>
      <c r="G28" s="80"/>
      <c r="H28" s="223"/>
      <c r="I28" s="80"/>
      <c r="J28" s="87"/>
      <c r="K28" s="80"/>
      <c r="L28" s="201"/>
      <c r="M28" s="202"/>
      <c r="N28" s="202"/>
      <c r="O28" s="202"/>
      <c r="P28" s="202"/>
      <c r="Q28" s="202"/>
    </row>
    <row r="29" spans="1:17" ht="22.5" x14ac:dyDescent="0.25">
      <c r="A29" s="33" t="str">
        <f>IF(COUNTBLANK(B29)=1," ",COUNTA($B$13:B29))</f>
        <v xml:space="preserve"> </v>
      </c>
      <c r="B29" s="78"/>
      <c r="C29" s="36" t="s">
        <v>295</v>
      </c>
      <c r="D29" s="33"/>
      <c r="E29" s="79"/>
      <c r="F29" s="80"/>
      <c r="G29" s="80"/>
      <c r="H29" s="223"/>
      <c r="I29" s="80"/>
      <c r="J29" s="80"/>
      <c r="K29" s="80"/>
      <c r="L29" s="201"/>
      <c r="M29" s="202"/>
      <c r="N29" s="202"/>
      <c r="O29" s="202"/>
      <c r="P29" s="202"/>
      <c r="Q29" s="202"/>
    </row>
    <row r="30" spans="1:17" x14ac:dyDescent="0.25">
      <c r="A30" s="33" t="str">
        <f>IF(COUNTBLANK(B30)=1," ",COUNTA($B$13:B30))</f>
        <v xml:space="preserve"> </v>
      </c>
      <c r="B30" s="78"/>
      <c r="C30" s="36" t="s">
        <v>296</v>
      </c>
      <c r="D30" s="90" t="s">
        <v>212</v>
      </c>
      <c r="E30" s="79">
        <v>1</v>
      </c>
      <c r="F30" s="80"/>
      <c r="G30" s="80"/>
      <c r="H30" s="223"/>
      <c r="I30" s="80"/>
      <c r="J30" s="87"/>
      <c r="K30" s="80"/>
      <c r="L30" s="201"/>
      <c r="M30" s="202"/>
      <c r="N30" s="202"/>
      <c r="O30" s="202"/>
      <c r="P30" s="202"/>
      <c r="Q30" s="202"/>
    </row>
    <row r="31" spans="1:17" ht="22.5" x14ac:dyDescent="0.25">
      <c r="A31" s="33">
        <f>IF(COUNTBLANK(B31)=1," ",COUNTA($B$13:B31))</f>
        <v>10</v>
      </c>
      <c r="B31" s="78" t="s">
        <v>52</v>
      </c>
      <c r="C31" s="36" t="s">
        <v>297</v>
      </c>
      <c r="D31" s="33" t="s">
        <v>99</v>
      </c>
      <c r="E31" s="79">
        <f>(165-3*4.8)*0.25*0.2</f>
        <v>7.53</v>
      </c>
      <c r="F31" s="80"/>
      <c r="G31" s="80"/>
      <c r="H31" s="223"/>
      <c r="I31" s="80"/>
      <c r="J31" s="80"/>
      <c r="K31" s="80"/>
      <c r="L31" s="201"/>
      <c r="M31" s="202"/>
      <c r="N31" s="202"/>
      <c r="O31" s="202"/>
      <c r="P31" s="202"/>
      <c r="Q31" s="202"/>
    </row>
    <row r="32" spans="1:17" x14ac:dyDescent="0.25">
      <c r="A32" s="33" t="str">
        <f>IF(COUNTBLANK(B32)=1," ",COUNTA($B$13:B32))</f>
        <v xml:space="preserve"> </v>
      </c>
      <c r="B32" s="78"/>
      <c r="C32" s="172" t="s">
        <v>298</v>
      </c>
      <c r="D32" s="33" t="s">
        <v>99</v>
      </c>
      <c r="E32" s="79">
        <f>E31*F32</f>
        <v>8.2830000000000013</v>
      </c>
      <c r="F32" s="80">
        <v>1.1000000000000001</v>
      </c>
      <c r="G32" s="80"/>
      <c r="H32" s="223"/>
      <c r="I32" s="80"/>
      <c r="J32" s="80"/>
      <c r="K32" s="80"/>
      <c r="L32" s="201"/>
      <c r="M32" s="202"/>
      <c r="N32" s="202"/>
      <c r="O32" s="202"/>
      <c r="P32" s="202"/>
      <c r="Q32" s="202"/>
    </row>
    <row r="33" spans="1:17" x14ac:dyDescent="0.25">
      <c r="A33" s="33" t="str">
        <f>IF(COUNTBLANK(B33)=1," ",COUNTA($B$13:B33))</f>
        <v xml:space="preserve"> </v>
      </c>
      <c r="B33" s="78"/>
      <c r="C33" s="172" t="s">
        <v>299</v>
      </c>
      <c r="D33" s="33" t="s">
        <v>70</v>
      </c>
      <c r="E33" s="79">
        <f>165*0.25*F33</f>
        <v>288.75</v>
      </c>
      <c r="F33" s="80">
        <v>7</v>
      </c>
      <c r="G33" s="80"/>
      <c r="H33" s="223"/>
      <c r="I33" s="80"/>
      <c r="J33" s="80"/>
      <c r="K33" s="80"/>
      <c r="L33" s="201"/>
      <c r="M33" s="202"/>
      <c r="N33" s="202"/>
      <c r="O33" s="202"/>
      <c r="P33" s="202"/>
      <c r="Q33" s="202"/>
    </row>
    <row r="34" spans="1:17" x14ac:dyDescent="0.25">
      <c r="A34" s="33" t="str">
        <f>IF(COUNTBLANK(B34)=1," ",COUNTA($B$13:B34))</f>
        <v xml:space="preserve"> </v>
      </c>
      <c r="B34" s="78"/>
      <c r="C34" s="172" t="s">
        <v>300</v>
      </c>
      <c r="D34" s="33" t="s">
        <v>56</v>
      </c>
      <c r="E34" s="79">
        <f>165/0.6*2</f>
        <v>550</v>
      </c>
      <c r="F34" s="80"/>
      <c r="G34" s="80"/>
      <c r="H34" s="223"/>
      <c r="I34" s="80"/>
      <c r="J34" s="80"/>
      <c r="K34" s="80"/>
      <c r="L34" s="201"/>
      <c r="M34" s="202"/>
      <c r="N34" s="202"/>
      <c r="O34" s="202"/>
      <c r="P34" s="202"/>
      <c r="Q34" s="202"/>
    </row>
    <row r="35" spans="1:17" x14ac:dyDescent="0.25">
      <c r="A35" s="33" t="str">
        <f>IF(COUNTBLANK(B35)=1," ",COUNTA($B$13:B35))</f>
        <v xml:space="preserve"> </v>
      </c>
      <c r="B35" s="78"/>
      <c r="C35" s="172" t="s">
        <v>301</v>
      </c>
      <c r="D35" s="33" t="s">
        <v>99</v>
      </c>
      <c r="E35" s="79">
        <f>(165*0.15*0.15*F35)/2</f>
        <v>2.0418750000000001</v>
      </c>
      <c r="F35" s="80">
        <v>1.1000000000000001</v>
      </c>
      <c r="G35" s="80"/>
      <c r="H35" s="223"/>
      <c r="I35" s="80"/>
      <c r="J35" s="80"/>
      <c r="K35" s="80"/>
      <c r="L35" s="201"/>
      <c r="M35" s="202"/>
      <c r="N35" s="202"/>
      <c r="O35" s="202"/>
      <c r="P35" s="202"/>
      <c r="Q35" s="202"/>
    </row>
    <row r="36" spans="1:17" ht="22.5" x14ac:dyDescent="0.25">
      <c r="A36" s="33">
        <f>IF(COUNTBLANK(B36)=1," ",COUNTA($B$13:B36))</f>
        <v>11</v>
      </c>
      <c r="B36" s="78" t="s">
        <v>52</v>
      </c>
      <c r="C36" s="36" t="s">
        <v>302</v>
      </c>
      <c r="D36" s="33" t="s">
        <v>60</v>
      </c>
      <c r="E36" s="79">
        <f>165*0.5</f>
        <v>82.5</v>
      </c>
      <c r="F36" s="80"/>
      <c r="G36" s="80"/>
      <c r="H36" s="223"/>
      <c r="I36" s="80"/>
      <c r="J36" s="87"/>
      <c r="K36" s="80"/>
      <c r="L36" s="201"/>
      <c r="M36" s="202"/>
      <c r="N36" s="202"/>
      <c r="O36" s="202"/>
      <c r="P36" s="202"/>
      <c r="Q36" s="202"/>
    </row>
    <row r="37" spans="1:17" ht="22.5" x14ac:dyDescent="0.25">
      <c r="A37" s="33">
        <f>IF(COUNTBLANK(B37)=1," ",COUNTA($B$13:B37))</f>
        <v>12</v>
      </c>
      <c r="B37" s="78" t="s">
        <v>52</v>
      </c>
      <c r="C37" s="36" t="s">
        <v>303</v>
      </c>
      <c r="D37" s="33" t="s">
        <v>60</v>
      </c>
      <c r="E37" s="79">
        <f>165*0.4+4.8*3*0.4</f>
        <v>71.760000000000005</v>
      </c>
      <c r="F37" s="80"/>
      <c r="G37" s="80"/>
      <c r="H37" s="223"/>
      <c r="I37" s="80"/>
      <c r="J37" s="87"/>
      <c r="K37" s="80"/>
      <c r="L37" s="201"/>
      <c r="M37" s="202"/>
      <c r="N37" s="202"/>
      <c r="O37" s="202"/>
      <c r="P37" s="202"/>
      <c r="Q37" s="202"/>
    </row>
    <row r="38" spans="1:17" x14ac:dyDescent="0.25">
      <c r="A38" s="33">
        <f>IF(COUNTBLANK(B38)=1," ",COUNTA($B$13:B38))</f>
        <v>13</v>
      </c>
      <c r="B38" s="78" t="s">
        <v>52</v>
      </c>
      <c r="C38" s="36" t="s">
        <v>304</v>
      </c>
      <c r="D38" s="33"/>
      <c r="E38" s="79"/>
      <c r="F38" s="80"/>
      <c r="G38" s="80"/>
      <c r="H38" s="223"/>
      <c r="I38" s="80"/>
      <c r="J38" s="80"/>
      <c r="K38" s="80"/>
      <c r="L38" s="201"/>
      <c r="M38" s="202"/>
      <c r="N38" s="202"/>
      <c r="O38" s="202"/>
      <c r="P38" s="202"/>
      <c r="Q38" s="202"/>
    </row>
    <row r="39" spans="1:17" x14ac:dyDescent="0.25">
      <c r="A39" s="33" t="str">
        <f>IF(COUNTBLANK(B39)=1," ",COUNTA($B$13:B39))</f>
        <v xml:space="preserve"> </v>
      </c>
      <c r="B39" s="78"/>
      <c r="C39" s="36" t="s">
        <v>305</v>
      </c>
      <c r="D39" s="33" t="s">
        <v>56</v>
      </c>
      <c r="E39" s="79">
        <f>165/0.6</f>
        <v>275</v>
      </c>
      <c r="F39" s="80"/>
      <c r="G39" s="80"/>
      <c r="H39" s="223"/>
      <c r="I39" s="80"/>
      <c r="J39" s="80"/>
      <c r="K39" s="80"/>
      <c r="L39" s="201"/>
      <c r="M39" s="202"/>
      <c r="N39" s="202"/>
      <c r="O39" s="202"/>
      <c r="P39" s="202"/>
      <c r="Q39" s="202"/>
    </row>
    <row r="40" spans="1:17" ht="22.5" x14ac:dyDescent="0.25">
      <c r="A40" s="33" t="str">
        <f>IF(COUNTBLANK(B40)=1," ",COUNTA($B$13:B40))</f>
        <v xml:space="preserve"> </v>
      </c>
      <c r="B40" s="78"/>
      <c r="C40" s="36" t="s">
        <v>306</v>
      </c>
      <c r="D40" s="33" t="s">
        <v>56</v>
      </c>
      <c r="E40" s="79">
        <f>E39*2</f>
        <v>550</v>
      </c>
      <c r="F40" s="80"/>
      <c r="G40" s="80"/>
      <c r="H40" s="223"/>
      <c r="I40" s="80"/>
      <c r="J40" s="80"/>
      <c r="K40" s="80"/>
      <c r="L40" s="201"/>
      <c r="M40" s="202"/>
      <c r="N40" s="202"/>
      <c r="O40" s="202"/>
      <c r="P40" s="202"/>
      <c r="Q40" s="202"/>
    </row>
    <row r="41" spans="1:17" ht="22.5" x14ac:dyDescent="0.25">
      <c r="A41" s="33" t="str">
        <f>IF(COUNTBLANK(B41)=1," ",COUNTA($B$13:B41))</f>
        <v xml:space="preserve"> </v>
      </c>
      <c r="B41" s="78"/>
      <c r="C41" s="36" t="s">
        <v>307</v>
      </c>
      <c r="D41" s="33" t="s">
        <v>56</v>
      </c>
      <c r="E41" s="79">
        <f>E39</f>
        <v>275</v>
      </c>
      <c r="F41" s="80"/>
      <c r="G41" s="80"/>
      <c r="H41" s="223"/>
      <c r="I41" s="80"/>
      <c r="J41" s="80"/>
      <c r="K41" s="80"/>
      <c r="L41" s="201"/>
      <c r="M41" s="202"/>
      <c r="N41" s="202"/>
      <c r="O41" s="202"/>
      <c r="P41" s="202"/>
      <c r="Q41" s="202"/>
    </row>
    <row r="42" spans="1:17" x14ac:dyDescent="0.25">
      <c r="A42" s="33" t="str">
        <f>IF(COUNTBLANK(B42)=1," ",COUNTA($B$13:B42))</f>
        <v xml:space="preserve"> </v>
      </c>
      <c r="B42" s="78"/>
      <c r="C42" s="36" t="s">
        <v>308</v>
      </c>
      <c r="D42" s="33" t="s">
        <v>99</v>
      </c>
      <c r="E42" s="79">
        <f>E39*0.3*0.1*0.4*1.1</f>
        <v>3.6300000000000008</v>
      </c>
      <c r="F42" s="80"/>
      <c r="G42" s="80"/>
      <c r="H42" s="223"/>
      <c r="I42" s="80"/>
      <c r="J42" s="80"/>
      <c r="K42" s="80"/>
      <c r="L42" s="201"/>
      <c r="M42" s="202"/>
      <c r="N42" s="202"/>
      <c r="O42" s="202"/>
      <c r="P42" s="202"/>
      <c r="Q42" s="202"/>
    </row>
    <row r="43" spans="1:17" x14ac:dyDescent="0.25">
      <c r="A43" s="33" t="str">
        <f>IF(COUNTBLANK(B43)=1," ",COUNTA($B$13:B43))</f>
        <v xml:space="preserve"> </v>
      </c>
      <c r="B43" s="78"/>
      <c r="C43" s="36" t="s">
        <v>309</v>
      </c>
      <c r="D43" s="33" t="s">
        <v>56</v>
      </c>
      <c r="E43" s="79">
        <f>E40</f>
        <v>550</v>
      </c>
      <c r="F43" s="80"/>
      <c r="G43" s="80"/>
      <c r="H43" s="223"/>
      <c r="I43" s="80"/>
      <c r="J43" s="80"/>
      <c r="K43" s="80"/>
      <c r="L43" s="201"/>
      <c r="M43" s="202"/>
      <c r="N43" s="202"/>
      <c r="O43" s="202"/>
      <c r="P43" s="202"/>
      <c r="Q43" s="202"/>
    </row>
    <row r="44" spans="1:17" x14ac:dyDescent="0.25">
      <c r="A44" s="33" t="str">
        <f>IF(COUNTBLANK(B44)=1," ",COUNTA($B$13:B44))</f>
        <v xml:space="preserve"> </v>
      </c>
      <c r="B44" s="78"/>
      <c r="C44" s="36" t="s">
        <v>310</v>
      </c>
      <c r="D44" s="33" t="s">
        <v>60</v>
      </c>
      <c r="E44" s="79">
        <f>165*0.8*1.15</f>
        <v>151.79999999999998</v>
      </c>
      <c r="F44" s="80"/>
      <c r="G44" s="80"/>
      <c r="H44" s="223"/>
      <c r="I44" s="80"/>
      <c r="J44" s="80"/>
      <c r="K44" s="80"/>
      <c r="L44" s="201"/>
      <c r="M44" s="202"/>
      <c r="N44" s="202"/>
      <c r="O44" s="202"/>
      <c r="P44" s="202"/>
      <c r="Q44" s="202"/>
    </row>
    <row r="45" spans="1:17" x14ac:dyDescent="0.25">
      <c r="A45" s="33" t="str">
        <f>IF(COUNTBLANK(B45)=1," ",COUNTA($B$13:B45))</f>
        <v xml:space="preserve"> </v>
      </c>
      <c r="B45" s="78"/>
      <c r="C45" s="36" t="s">
        <v>296</v>
      </c>
      <c r="D45" s="90" t="s">
        <v>212</v>
      </c>
      <c r="E45" s="79">
        <v>1</v>
      </c>
      <c r="F45" s="80"/>
      <c r="G45" s="80"/>
      <c r="H45" s="223"/>
      <c r="I45" s="80"/>
      <c r="J45" s="80"/>
      <c r="K45" s="80"/>
      <c r="L45" s="201"/>
      <c r="M45" s="202"/>
      <c r="N45" s="202"/>
      <c r="O45" s="202"/>
      <c r="P45" s="202"/>
      <c r="Q45" s="202"/>
    </row>
    <row r="46" spans="1:17" x14ac:dyDescent="0.25">
      <c r="A46" s="33">
        <f>IF(COUNTBLANK(B46)=1," ",COUNTA($B$13:B46))</f>
        <v>14</v>
      </c>
      <c r="B46" s="78" t="s">
        <v>52</v>
      </c>
      <c r="C46" s="36" t="s">
        <v>311</v>
      </c>
      <c r="D46" s="33" t="s">
        <v>60</v>
      </c>
      <c r="E46" s="79">
        <v>10</v>
      </c>
      <c r="F46" s="80"/>
      <c r="G46" s="80"/>
      <c r="H46" s="223"/>
      <c r="I46" s="80"/>
      <c r="J46" s="87"/>
      <c r="K46" s="80"/>
      <c r="L46" s="201"/>
      <c r="M46" s="202"/>
      <c r="N46" s="202"/>
      <c r="O46" s="202"/>
      <c r="P46" s="202"/>
      <c r="Q46" s="202"/>
    </row>
    <row r="47" spans="1:17" x14ac:dyDescent="0.25">
      <c r="A47" s="33" t="str">
        <f>IF(COUNTBLANK(B47)=1," ",COUNTA($B$13:B47))</f>
        <v xml:space="preserve"> </v>
      </c>
      <c r="B47" s="33"/>
      <c r="C47" s="36" t="s">
        <v>276</v>
      </c>
      <c r="D47" s="33" t="s">
        <v>70</v>
      </c>
      <c r="E47" s="80">
        <f>E46*F47</f>
        <v>4</v>
      </c>
      <c r="F47" s="80">
        <v>0.4</v>
      </c>
      <c r="G47" s="80"/>
      <c r="H47" s="223"/>
      <c r="I47" s="80"/>
      <c r="J47" s="80"/>
      <c r="K47" s="80"/>
      <c r="L47" s="201"/>
      <c r="M47" s="202"/>
      <c r="N47" s="202"/>
      <c r="O47" s="202"/>
      <c r="P47" s="202"/>
      <c r="Q47" s="202"/>
    </row>
    <row r="48" spans="1:17" x14ac:dyDescent="0.25">
      <c r="A48" s="33" t="str">
        <f>IF(COUNTBLANK(B48)=1," ",COUNTA($B$13:B48))</f>
        <v xml:space="preserve"> </v>
      </c>
      <c r="B48" s="33"/>
      <c r="C48" s="36" t="s">
        <v>312</v>
      </c>
      <c r="D48" s="33" t="s">
        <v>70</v>
      </c>
      <c r="E48" s="80">
        <f>E46*F48</f>
        <v>6</v>
      </c>
      <c r="F48" s="80">
        <v>0.6</v>
      </c>
      <c r="G48" s="80"/>
      <c r="H48" s="223"/>
      <c r="I48" s="80"/>
      <c r="J48" s="80"/>
      <c r="K48" s="80"/>
      <c r="L48" s="201"/>
      <c r="M48" s="202"/>
      <c r="N48" s="202"/>
      <c r="O48" s="202"/>
      <c r="P48" s="202"/>
      <c r="Q48" s="202"/>
    </row>
    <row r="49" spans="1:17" ht="22.5" x14ac:dyDescent="0.25">
      <c r="A49" s="33">
        <f>IF(COUNTBLANK(B49)=1," ",COUNTA($B$13:B49))</f>
        <v>15</v>
      </c>
      <c r="B49" s="78" t="s">
        <v>52</v>
      </c>
      <c r="C49" s="36" t="s">
        <v>313</v>
      </c>
      <c r="D49" s="33" t="s">
        <v>54</v>
      </c>
      <c r="E49" s="80">
        <v>165</v>
      </c>
      <c r="F49" s="80"/>
      <c r="G49" s="80"/>
      <c r="H49" s="223"/>
      <c r="I49" s="80"/>
      <c r="J49" s="87"/>
      <c r="K49" s="80"/>
      <c r="L49" s="201"/>
      <c r="M49" s="202"/>
      <c r="N49" s="202"/>
      <c r="O49" s="202"/>
      <c r="P49" s="202"/>
      <c r="Q49" s="202"/>
    </row>
    <row r="50" spans="1:17" x14ac:dyDescent="0.25">
      <c r="A50" s="33">
        <f>IF(COUNTBLANK(B50)=1," ",COUNTA($B$13:B50))</f>
        <v>16</v>
      </c>
      <c r="B50" s="78" t="s">
        <v>52</v>
      </c>
      <c r="C50" s="36" t="s">
        <v>314</v>
      </c>
      <c r="D50" s="33" t="s">
        <v>60</v>
      </c>
      <c r="E50" s="80">
        <v>20</v>
      </c>
      <c r="F50" s="80"/>
      <c r="G50" s="80"/>
      <c r="H50" s="223"/>
      <c r="I50" s="80"/>
      <c r="J50" s="87"/>
      <c r="K50" s="80"/>
      <c r="L50" s="201"/>
      <c r="M50" s="202"/>
      <c r="N50" s="202"/>
      <c r="O50" s="202"/>
      <c r="P50" s="202"/>
      <c r="Q50" s="202"/>
    </row>
    <row r="51" spans="1:17" ht="22.5" x14ac:dyDescent="0.25">
      <c r="A51" s="33">
        <f>IF(COUNTBLANK(B51)=1," ",COUNTA($B$13:B51))</f>
        <v>17</v>
      </c>
      <c r="B51" s="78" t="s">
        <v>52</v>
      </c>
      <c r="C51" s="36" t="s">
        <v>315</v>
      </c>
      <c r="D51" s="33" t="s">
        <v>54</v>
      </c>
      <c r="E51" s="80">
        <f>E49</f>
        <v>165</v>
      </c>
      <c r="F51" s="80"/>
      <c r="G51" s="80"/>
      <c r="H51" s="223"/>
      <c r="I51"/>
      <c r="J51"/>
      <c r="K51" s="80"/>
      <c r="L51" s="201"/>
      <c r="M51" s="202"/>
      <c r="N51" s="202"/>
      <c r="O51" s="202"/>
      <c r="P51" s="202"/>
      <c r="Q51" s="202"/>
    </row>
    <row r="52" spans="1:17" ht="22.5" x14ac:dyDescent="0.25">
      <c r="A52" s="33" t="str">
        <f>IF(COUNTBLANK(B52)=1," ",COUNTA($B$13:B52))</f>
        <v xml:space="preserve"> </v>
      </c>
      <c r="B52" s="78"/>
      <c r="C52" s="189" t="s">
        <v>316</v>
      </c>
      <c r="D52" s="33"/>
      <c r="E52" s="80"/>
      <c r="F52" s="80"/>
      <c r="G52" s="80"/>
      <c r="H52" s="223"/>
      <c r="I52" s="80"/>
      <c r="J52" s="80"/>
      <c r="K52" s="80"/>
      <c r="L52" s="201"/>
      <c r="M52" s="202"/>
      <c r="N52" s="202"/>
      <c r="O52" s="202"/>
      <c r="P52" s="202"/>
      <c r="Q52" s="202"/>
    </row>
    <row r="53" spans="1:17" ht="22.5" x14ac:dyDescent="0.25">
      <c r="A53" s="33">
        <f>IF(COUNTBLANK(B53)=1," ",COUNTA($B$13:B53))</f>
        <v>18</v>
      </c>
      <c r="B53" s="78" t="s">
        <v>52</v>
      </c>
      <c r="C53" s="36" t="s">
        <v>317</v>
      </c>
      <c r="D53" s="33" t="s">
        <v>60</v>
      </c>
      <c r="E53" s="80">
        <v>20</v>
      </c>
      <c r="F53" s="80"/>
      <c r="G53" s="80"/>
      <c r="H53" s="223"/>
      <c r="I53" s="80"/>
      <c r="J53" s="80"/>
      <c r="K53" s="80"/>
      <c r="L53" s="201"/>
      <c r="M53" s="202"/>
      <c r="N53" s="202"/>
      <c r="O53" s="202"/>
      <c r="P53" s="202"/>
      <c r="Q53" s="202"/>
    </row>
    <row r="54" spans="1:17" x14ac:dyDescent="0.25">
      <c r="A54" s="33" t="str">
        <f>IF(COUNTBLANK(B54)=1," ",COUNTA($B$13:B54))</f>
        <v xml:space="preserve"> </v>
      </c>
      <c r="B54" s="33"/>
      <c r="C54" s="36" t="s">
        <v>318</v>
      </c>
      <c r="D54" s="80" t="s">
        <v>70</v>
      </c>
      <c r="E54" s="80">
        <f>ROUND(E53*F54,2)</f>
        <v>60</v>
      </c>
      <c r="F54" s="80">
        <v>3</v>
      </c>
      <c r="G54" s="80"/>
      <c r="H54" s="223"/>
      <c r="I54" s="80"/>
      <c r="J54" s="80"/>
      <c r="K54" s="80"/>
      <c r="L54" s="201"/>
      <c r="M54" s="202"/>
      <c r="N54" s="202"/>
      <c r="O54" s="202"/>
      <c r="P54" s="202"/>
      <c r="Q54" s="202"/>
    </row>
    <row r="55" spans="1:17" ht="22.5" x14ac:dyDescent="0.25">
      <c r="A55" s="33">
        <f>IF(COUNTBLANK(B55)=1," ",COUNTA($B$13:B55))</f>
        <v>19</v>
      </c>
      <c r="B55" s="78" t="s">
        <v>52</v>
      </c>
      <c r="C55" s="36" t="s">
        <v>319</v>
      </c>
      <c r="D55" s="33" t="s">
        <v>60</v>
      </c>
      <c r="E55" s="79">
        <v>20</v>
      </c>
      <c r="F55" s="80"/>
      <c r="G55" s="80"/>
      <c r="H55" s="223"/>
      <c r="I55" s="80"/>
      <c r="J55" s="87"/>
      <c r="K55" s="80"/>
      <c r="L55" s="201"/>
      <c r="M55" s="202"/>
      <c r="N55" s="202"/>
      <c r="O55" s="202"/>
      <c r="P55" s="202"/>
      <c r="Q55" s="202"/>
    </row>
    <row r="56" spans="1:17" x14ac:dyDescent="0.25">
      <c r="A56" s="33" t="str">
        <f>IF(COUNTBLANK(B56)=1," ",COUNTA($B$13:B56))</f>
        <v xml:space="preserve"> </v>
      </c>
      <c r="B56" s="33"/>
      <c r="C56" s="36" t="s">
        <v>234</v>
      </c>
      <c r="D56" s="225" t="s">
        <v>60</v>
      </c>
      <c r="E56" s="80">
        <f>ROUNDUP(E55*F56,2)</f>
        <v>21</v>
      </c>
      <c r="F56" s="80">
        <v>1.05</v>
      </c>
      <c r="G56" s="80"/>
      <c r="H56" s="223"/>
      <c r="I56" s="80"/>
      <c r="J56" s="80"/>
      <c r="K56" s="80"/>
      <c r="L56" s="201"/>
      <c r="M56" s="202"/>
      <c r="N56" s="202"/>
      <c r="O56" s="202"/>
      <c r="P56" s="202"/>
      <c r="Q56" s="202"/>
    </row>
    <row r="57" spans="1:17" x14ac:dyDescent="0.25">
      <c r="A57" s="33" t="str">
        <f>IF(COUNTBLANK(B57)=1," ",COUNTA($B$13:B57))</f>
        <v xml:space="preserve"> </v>
      </c>
      <c r="B57" s="33"/>
      <c r="C57" s="36" t="s">
        <v>320</v>
      </c>
      <c r="D57" s="33" t="s">
        <v>70</v>
      </c>
      <c r="E57" s="80">
        <f>ROUNDUP(E55*F57,2)</f>
        <v>100</v>
      </c>
      <c r="F57" s="80">
        <v>5</v>
      </c>
      <c r="G57" s="80"/>
      <c r="H57" s="223"/>
      <c r="I57" s="80"/>
      <c r="J57" s="80"/>
      <c r="K57" s="80"/>
      <c r="L57" s="201"/>
      <c r="M57" s="202"/>
      <c r="N57" s="202"/>
      <c r="O57" s="202"/>
      <c r="P57" s="202"/>
      <c r="Q57" s="202"/>
    </row>
    <row r="58" spans="1:17" x14ac:dyDescent="0.25">
      <c r="A58" s="33" t="str">
        <f>IF(COUNTBLANK(B58)=1," ",COUNTA($B$13:B58))</f>
        <v xml:space="preserve"> </v>
      </c>
      <c r="B58" s="33"/>
      <c r="C58" s="36" t="s">
        <v>321</v>
      </c>
      <c r="D58" s="90" t="s">
        <v>56</v>
      </c>
      <c r="E58" s="80">
        <f>ROUNDUP(E55*F58,0)</f>
        <v>120</v>
      </c>
      <c r="F58" s="80">
        <v>6</v>
      </c>
      <c r="G58" s="80"/>
      <c r="H58" s="223"/>
      <c r="I58" s="80"/>
      <c r="J58" s="80"/>
      <c r="K58" s="80"/>
      <c r="L58" s="201"/>
      <c r="M58" s="202"/>
      <c r="N58" s="202"/>
      <c r="O58" s="202"/>
      <c r="P58" s="202"/>
      <c r="Q58" s="202"/>
    </row>
    <row r="59" spans="1:17" ht="22.5" x14ac:dyDescent="0.25">
      <c r="A59" s="33">
        <f>IF(COUNTBLANK(B59)=1," ",COUNTA($B$13:B59))</f>
        <v>20</v>
      </c>
      <c r="B59" s="78" t="s">
        <v>52</v>
      </c>
      <c r="C59" s="36" t="s">
        <v>322</v>
      </c>
      <c r="D59" s="33" t="s">
        <v>99</v>
      </c>
      <c r="E59" s="79">
        <f>(3*16.4)*0.25*0.2</f>
        <v>2.46</v>
      </c>
      <c r="F59" s="80"/>
      <c r="G59" s="80"/>
      <c r="H59" s="223"/>
      <c r="I59" s="80"/>
      <c r="J59" s="87"/>
      <c r="K59" s="80"/>
      <c r="L59" s="201"/>
      <c r="M59" s="202"/>
      <c r="N59" s="202"/>
      <c r="O59" s="202"/>
      <c r="P59" s="202"/>
      <c r="Q59" s="202"/>
    </row>
    <row r="60" spans="1:17" x14ac:dyDescent="0.25">
      <c r="A60" s="33" t="str">
        <f>IF(COUNTBLANK(B60)=1," ",COUNTA($B$13:B60))</f>
        <v xml:space="preserve"> </v>
      </c>
      <c r="B60" s="78"/>
      <c r="C60" s="172" t="s">
        <v>298</v>
      </c>
      <c r="D60" s="33" t="s">
        <v>99</v>
      </c>
      <c r="E60" s="79">
        <f>E59*F60</f>
        <v>2.706</v>
      </c>
      <c r="F60" s="80">
        <v>1.1000000000000001</v>
      </c>
      <c r="G60" s="80"/>
      <c r="H60" s="223"/>
      <c r="I60" s="80"/>
      <c r="J60" s="87"/>
      <c r="K60" s="80"/>
      <c r="L60" s="201"/>
      <c r="M60" s="202"/>
      <c r="N60" s="202"/>
      <c r="O60" s="202"/>
      <c r="P60" s="202"/>
      <c r="Q60" s="202"/>
    </row>
    <row r="61" spans="1:17" x14ac:dyDescent="0.25">
      <c r="A61" s="33" t="str">
        <f>IF(COUNTBLANK(B61)=1," ",COUNTA($B$13:B61))</f>
        <v xml:space="preserve"> </v>
      </c>
      <c r="B61" s="78"/>
      <c r="C61" s="172" t="s">
        <v>299</v>
      </c>
      <c r="D61" s="33" t="s">
        <v>70</v>
      </c>
      <c r="E61" s="79">
        <f>165*0.25*F61</f>
        <v>288.75</v>
      </c>
      <c r="F61" s="80">
        <v>7</v>
      </c>
      <c r="G61" s="80"/>
      <c r="H61" s="223"/>
      <c r="I61" s="80"/>
      <c r="J61" s="87"/>
      <c r="K61" s="80"/>
      <c r="L61" s="201"/>
      <c r="M61" s="202"/>
      <c r="N61" s="202"/>
      <c r="O61" s="202"/>
      <c r="P61" s="202"/>
      <c r="Q61" s="202"/>
    </row>
    <row r="62" spans="1:17" x14ac:dyDescent="0.25">
      <c r="A62" s="33" t="str">
        <f>IF(COUNTBLANK(B62)=1," ",COUNTA($B$13:B62))</f>
        <v xml:space="preserve"> </v>
      </c>
      <c r="B62" s="78"/>
      <c r="C62" s="172" t="s">
        <v>300</v>
      </c>
      <c r="D62" s="33" t="s">
        <v>56</v>
      </c>
      <c r="E62" s="79">
        <f>165/0.6*2</f>
        <v>550</v>
      </c>
      <c r="F62" s="80"/>
      <c r="G62" s="80"/>
      <c r="H62" s="223"/>
      <c r="I62" s="80"/>
      <c r="J62" s="87"/>
      <c r="K62" s="80"/>
      <c r="L62" s="201"/>
      <c r="M62" s="202"/>
      <c r="N62" s="202"/>
      <c r="O62" s="202"/>
      <c r="P62" s="202"/>
      <c r="Q62" s="202"/>
    </row>
    <row r="63" spans="1:17" x14ac:dyDescent="0.25">
      <c r="A63" s="33" t="str">
        <f>IF(COUNTBLANK(B63)=1," ",COUNTA($B$13:B63))</f>
        <v xml:space="preserve"> </v>
      </c>
      <c r="B63" s="78"/>
      <c r="C63" s="172" t="s">
        <v>301</v>
      </c>
      <c r="D63" s="33" t="s">
        <v>99</v>
      </c>
      <c r="E63" s="79">
        <f>(165*0.15*0.15*F63)/2</f>
        <v>2.0418750000000001</v>
      </c>
      <c r="F63" s="80">
        <v>1.1000000000000001</v>
      </c>
      <c r="G63" s="80"/>
      <c r="H63" s="223"/>
      <c r="I63" s="80"/>
      <c r="J63" s="87"/>
      <c r="K63" s="80"/>
      <c r="L63" s="201"/>
      <c r="M63" s="202"/>
      <c r="N63" s="202"/>
      <c r="O63" s="202"/>
      <c r="P63" s="202"/>
      <c r="Q63" s="202"/>
    </row>
    <row r="64" spans="1:17" ht="22.5" x14ac:dyDescent="0.25">
      <c r="A64" s="33">
        <f>IF(COUNTBLANK(B64)=1," ",COUNTA($B$13:B64))</f>
        <v>21</v>
      </c>
      <c r="B64" s="78" t="s">
        <v>52</v>
      </c>
      <c r="C64" s="36" t="s">
        <v>302</v>
      </c>
      <c r="D64" s="33" t="s">
        <v>60</v>
      </c>
      <c r="E64" s="79">
        <f>16*0.5*3</f>
        <v>24</v>
      </c>
      <c r="F64" s="80"/>
      <c r="G64" s="80"/>
      <c r="H64" s="223"/>
      <c r="I64" s="80"/>
      <c r="J64" s="87"/>
      <c r="K64" s="80"/>
      <c r="L64" s="201"/>
      <c r="M64" s="202"/>
      <c r="N64" s="202"/>
      <c r="O64" s="202"/>
      <c r="P64" s="202"/>
      <c r="Q64" s="202"/>
    </row>
    <row r="65" spans="1:17" ht="22.5" x14ac:dyDescent="0.25">
      <c r="A65" s="33">
        <f>IF(COUNTBLANK(B65)=1," ",COUNTA($B$13:B65))</f>
        <v>22</v>
      </c>
      <c r="B65" s="78" t="s">
        <v>52</v>
      </c>
      <c r="C65" s="36" t="s">
        <v>303</v>
      </c>
      <c r="D65" s="33" t="s">
        <v>60</v>
      </c>
      <c r="E65" s="79">
        <f>16*0.4*3</f>
        <v>19.200000000000003</v>
      </c>
      <c r="F65" s="80"/>
      <c r="G65" s="80"/>
      <c r="H65" s="223"/>
      <c r="I65" s="80"/>
      <c r="J65" s="87"/>
      <c r="K65" s="80"/>
      <c r="L65" s="201"/>
      <c r="M65" s="202"/>
      <c r="N65" s="202"/>
      <c r="O65" s="202"/>
      <c r="P65" s="202"/>
      <c r="Q65" s="202"/>
    </row>
    <row r="66" spans="1:17" x14ac:dyDescent="0.25">
      <c r="A66" s="33">
        <f>IF(COUNTBLANK(B66)=1," ",COUNTA($B$13:B66))</f>
        <v>23</v>
      </c>
      <c r="B66" s="78" t="s">
        <v>52</v>
      </c>
      <c r="C66" s="36" t="s">
        <v>304</v>
      </c>
      <c r="D66" s="33"/>
      <c r="E66" s="79"/>
      <c r="F66" s="80"/>
      <c r="G66" s="80"/>
      <c r="H66" s="223"/>
      <c r="I66" s="80"/>
      <c r="J66" s="80"/>
      <c r="K66" s="80"/>
      <c r="L66" s="201"/>
      <c r="M66" s="202"/>
      <c r="N66" s="202"/>
      <c r="O66" s="202"/>
      <c r="P66" s="202"/>
      <c r="Q66" s="202"/>
    </row>
    <row r="67" spans="1:17" x14ac:dyDescent="0.25">
      <c r="A67" s="33" t="str">
        <f>IF(COUNTBLANK(B67)=1," ",COUNTA($B$13:B67))</f>
        <v xml:space="preserve"> </v>
      </c>
      <c r="B67" s="78"/>
      <c r="C67" s="36" t="s">
        <v>305</v>
      </c>
      <c r="D67" s="33" t="s">
        <v>56</v>
      </c>
      <c r="E67" s="79">
        <f>48/0.6</f>
        <v>80</v>
      </c>
      <c r="F67" s="80"/>
      <c r="G67" s="80"/>
      <c r="H67" s="223"/>
      <c r="I67" s="80"/>
      <c r="J67" s="80"/>
      <c r="K67" s="80"/>
      <c r="L67" s="201"/>
      <c r="M67" s="202"/>
      <c r="N67" s="202"/>
      <c r="O67" s="202"/>
      <c r="P67" s="202"/>
      <c r="Q67" s="202"/>
    </row>
    <row r="68" spans="1:17" ht="22.5" x14ac:dyDescent="0.25">
      <c r="A68" s="33" t="str">
        <f>IF(COUNTBLANK(B68)=1," ",COUNTA($B$13:B68))</f>
        <v xml:space="preserve"> </v>
      </c>
      <c r="B68" s="78"/>
      <c r="C68" s="36" t="s">
        <v>306</v>
      </c>
      <c r="D68" s="33" t="s">
        <v>56</v>
      </c>
      <c r="E68" s="79">
        <f>E67*2</f>
        <v>160</v>
      </c>
      <c r="F68" s="80"/>
      <c r="G68" s="80"/>
      <c r="H68" s="223"/>
      <c r="I68" s="80"/>
      <c r="J68" s="80"/>
      <c r="K68" s="80"/>
      <c r="L68" s="201"/>
      <c r="M68" s="202"/>
      <c r="N68" s="202"/>
      <c r="O68" s="202"/>
      <c r="P68" s="202"/>
      <c r="Q68" s="202"/>
    </row>
    <row r="69" spans="1:17" ht="22.5" x14ac:dyDescent="0.25">
      <c r="A69" s="33" t="str">
        <f>IF(COUNTBLANK(B69)=1," ",COUNTA($B$13:B69))</f>
        <v xml:space="preserve"> </v>
      </c>
      <c r="B69" s="78"/>
      <c r="C69" s="36" t="s">
        <v>307</v>
      </c>
      <c r="D69" s="33" t="s">
        <v>56</v>
      </c>
      <c r="E69" s="79">
        <f>E67</f>
        <v>80</v>
      </c>
      <c r="F69" s="80"/>
      <c r="G69" s="80"/>
      <c r="H69" s="223"/>
      <c r="I69" s="80"/>
      <c r="J69" s="80"/>
      <c r="K69" s="80"/>
      <c r="L69" s="201"/>
      <c r="M69" s="202"/>
      <c r="N69" s="202"/>
      <c r="O69" s="202"/>
      <c r="P69" s="202"/>
      <c r="Q69" s="202"/>
    </row>
    <row r="70" spans="1:17" x14ac:dyDescent="0.25">
      <c r="A70" s="33" t="str">
        <f>IF(COUNTBLANK(B70)=1," ",COUNTA($B$13:B70))</f>
        <v xml:space="preserve"> </v>
      </c>
      <c r="B70" s="78"/>
      <c r="C70" s="36" t="s">
        <v>308</v>
      </c>
      <c r="D70" s="33" t="s">
        <v>99</v>
      </c>
      <c r="E70" s="79">
        <f>E67*0.3*0.1*0.4*1.1</f>
        <v>1.0560000000000003</v>
      </c>
      <c r="F70" s="80"/>
      <c r="G70" s="80"/>
      <c r="H70" s="223"/>
      <c r="I70" s="80"/>
      <c r="J70" s="80"/>
      <c r="K70" s="80"/>
      <c r="L70" s="201"/>
      <c r="M70" s="202"/>
      <c r="N70" s="202"/>
      <c r="O70" s="202"/>
      <c r="P70" s="202"/>
      <c r="Q70" s="202"/>
    </row>
    <row r="71" spans="1:17" x14ac:dyDescent="0.25">
      <c r="A71" s="33" t="str">
        <f>IF(COUNTBLANK(B71)=1," ",COUNTA($B$13:B71))</f>
        <v xml:space="preserve"> </v>
      </c>
      <c r="B71" s="78"/>
      <c r="C71" s="36" t="s">
        <v>309</v>
      </c>
      <c r="D71" s="33" t="s">
        <v>56</v>
      </c>
      <c r="E71" s="79">
        <f>E68</f>
        <v>160</v>
      </c>
      <c r="F71" s="80"/>
      <c r="G71" s="80"/>
      <c r="H71" s="223"/>
      <c r="I71" s="80"/>
      <c r="J71" s="80"/>
      <c r="K71" s="80"/>
      <c r="L71" s="201"/>
      <c r="M71" s="202"/>
      <c r="N71" s="202"/>
      <c r="O71" s="202"/>
      <c r="P71" s="202"/>
      <c r="Q71" s="202"/>
    </row>
    <row r="72" spans="1:17" x14ac:dyDescent="0.25">
      <c r="A72" s="33" t="str">
        <f>IF(COUNTBLANK(B72)=1," ",COUNTA($B$13:B72))</f>
        <v xml:space="preserve"> </v>
      </c>
      <c r="B72" s="78"/>
      <c r="C72" s="36" t="s">
        <v>310</v>
      </c>
      <c r="D72" s="33" t="s">
        <v>60</v>
      </c>
      <c r="E72" s="79">
        <f>48*0.8*1.15</f>
        <v>44.160000000000004</v>
      </c>
      <c r="F72" s="80"/>
      <c r="G72" s="80"/>
      <c r="H72" s="223"/>
      <c r="I72" s="80"/>
      <c r="J72" s="80"/>
      <c r="K72" s="80"/>
      <c r="L72" s="201"/>
      <c r="M72" s="202"/>
      <c r="N72" s="202"/>
      <c r="O72" s="202"/>
      <c r="P72" s="202"/>
      <c r="Q72" s="202"/>
    </row>
    <row r="73" spans="1:17" x14ac:dyDescent="0.25">
      <c r="A73" s="33" t="str">
        <f>IF(COUNTBLANK(B73)=1," ",COUNTA($B$13:B73))</f>
        <v xml:space="preserve"> </v>
      </c>
      <c r="B73" s="78"/>
      <c r="C73" s="36" t="s">
        <v>296</v>
      </c>
      <c r="D73" s="90" t="s">
        <v>212</v>
      </c>
      <c r="E73" s="79">
        <v>1</v>
      </c>
      <c r="F73" s="80"/>
      <c r="G73" s="80"/>
      <c r="H73" s="223"/>
      <c r="I73" s="80"/>
      <c r="J73" s="80"/>
      <c r="K73" s="80"/>
      <c r="L73" s="201"/>
      <c r="M73" s="202"/>
      <c r="N73" s="202"/>
      <c r="O73" s="202"/>
      <c r="P73" s="202"/>
      <c r="Q73" s="202"/>
    </row>
    <row r="74" spans="1:17" x14ac:dyDescent="0.25">
      <c r="A74" s="33">
        <f>IF(COUNTBLANK(B74)=1," ",COUNTA($B$13:B74))</f>
        <v>24</v>
      </c>
      <c r="B74" s="78" t="s">
        <v>52</v>
      </c>
      <c r="C74" s="36" t="s">
        <v>311</v>
      </c>
      <c r="D74" s="33" t="s">
        <v>60</v>
      </c>
      <c r="E74" s="79">
        <v>3</v>
      </c>
      <c r="F74" s="80"/>
      <c r="G74" s="80"/>
      <c r="H74" s="223"/>
      <c r="I74" s="80"/>
      <c r="J74" s="87"/>
      <c r="K74" s="80"/>
      <c r="L74" s="201"/>
      <c r="M74" s="202"/>
      <c r="N74" s="202"/>
      <c r="O74" s="202"/>
      <c r="P74" s="202"/>
      <c r="Q74" s="202"/>
    </row>
    <row r="75" spans="1:17" x14ac:dyDescent="0.25">
      <c r="A75" s="33" t="str">
        <f>IF(COUNTBLANK(B75)=1," ",COUNTA($B$13:B75))</f>
        <v xml:space="preserve"> </v>
      </c>
      <c r="B75" s="33"/>
      <c r="C75" s="36" t="s">
        <v>276</v>
      </c>
      <c r="D75" s="33" t="s">
        <v>70</v>
      </c>
      <c r="E75" s="80">
        <f>E74*F75</f>
        <v>1.2000000000000002</v>
      </c>
      <c r="F75" s="80">
        <v>0.4</v>
      </c>
      <c r="G75" s="80"/>
      <c r="H75" s="223"/>
      <c r="I75" s="80"/>
      <c r="J75" s="80"/>
      <c r="K75" s="80"/>
      <c r="L75" s="201"/>
      <c r="M75" s="202"/>
      <c r="N75" s="202"/>
      <c r="O75" s="202"/>
      <c r="P75" s="202"/>
      <c r="Q75" s="202"/>
    </row>
    <row r="76" spans="1:17" x14ac:dyDescent="0.25">
      <c r="A76" s="33" t="str">
        <f>IF(COUNTBLANK(B76)=1," ",COUNTA($B$13:B76))</f>
        <v xml:space="preserve"> </v>
      </c>
      <c r="B76" s="33"/>
      <c r="C76" s="36" t="s">
        <v>312</v>
      </c>
      <c r="D76" s="33" t="s">
        <v>70</v>
      </c>
      <c r="E76" s="80">
        <f>E74*F76</f>
        <v>1.7999999999999998</v>
      </c>
      <c r="F76" s="80">
        <v>0.6</v>
      </c>
      <c r="G76" s="80"/>
      <c r="H76" s="223"/>
      <c r="I76" s="80"/>
      <c r="J76" s="80"/>
      <c r="K76" s="80"/>
      <c r="L76" s="201"/>
      <c r="M76" s="202"/>
      <c r="N76" s="202"/>
      <c r="O76" s="202"/>
      <c r="P76" s="202"/>
      <c r="Q76" s="202"/>
    </row>
    <row r="77" spans="1:17" x14ac:dyDescent="0.25">
      <c r="A77" s="33">
        <f>IF(COUNTBLANK(B77)=1," ",COUNTA($B$13:B77))</f>
        <v>25</v>
      </c>
      <c r="B77" s="78" t="s">
        <v>52</v>
      </c>
      <c r="C77" s="36" t="s">
        <v>323</v>
      </c>
      <c r="D77" s="33" t="s">
        <v>60</v>
      </c>
      <c r="E77" s="79">
        <v>20</v>
      </c>
      <c r="F77" s="80"/>
      <c r="G77" s="80"/>
      <c r="H77" s="223"/>
      <c r="I77" s="80"/>
      <c r="J77" s="87"/>
      <c r="K77" s="80"/>
      <c r="L77" s="201"/>
      <c r="M77" s="202"/>
      <c r="N77" s="202"/>
      <c r="O77" s="202"/>
      <c r="P77" s="202"/>
      <c r="Q77" s="202"/>
    </row>
    <row r="78" spans="1:17" ht="22.5" x14ac:dyDescent="0.25">
      <c r="A78" s="33">
        <f>IF(COUNTBLANK(B78)=1," ",COUNTA($B$13:B78))</f>
        <v>26</v>
      </c>
      <c r="B78" s="78" t="s">
        <v>52</v>
      </c>
      <c r="C78" s="36" t="s">
        <v>315</v>
      </c>
      <c r="D78" s="33" t="s">
        <v>54</v>
      </c>
      <c r="E78" s="79">
        <v>48</v>
      </c>
      <c r="F78" s="80"/>
      <c r="G78" s="80"/>
      <c r="H78" s="223"/>
      <c r="I78" s="80"/>
      <c r="J78" s="87"/>
      <c r="K78" s="80"/>
      <c r="L78" s="201"/>
      <c r="M78" s="202"/>
      <c r="N78" s="202"/>
      <c r="O78" s="202"/>
      <c r="P78" s="202"/>
      <c r="Q78" s="202"/>
    </row>
    <row r="79" spans="1:17" ht="22.5" x14ac:dyDescent="0.25">
      <c r="A79" s="33">
        <f>IF(COUNTBLANK(B79)=1," ",COUNTA($B$13:B79))</f>
        <v>27</v>
      </c>
      <c r="B79" s="78" t="s">
        <v>52</v>
      </c>
      <c r="C79" s="36" t="s">
        <v>324</v>
      </c>
      <c r="D79" s="33" t="s">
        <v>54</v>
      </c>
      <c r="E79" s="79">
        <f>E78</f>
        <v>48</v>
      </c>
      <c r="F79" s="80"/>
      <c r="G79" s="80"/>
      <c r="H79" s="223"/>
      <c r="I79" s="80"/>
      <c r="J79" s="87"/>
      <c r="K79" s="80"/>
      <c r="L79" s="201"/>
      <c r="M79" s="202"/>
      <c r="N79" s="202"/>
      <c r="O79" s="202"/>
      <c r="P79" s="202"/>
      <c r="Q79" s="202"/>
    </row>
    <row r="80" spans="1:17" x14ac:dyDescent="0.25">
      <c r="A80" s="33">
        <f>IF(COUNTBLANK(B80)=1," ",COUNTA($B$13:B80))</f>
        <v>28</v>
      </c>
      <c r="B80" s="78" t="s">
        <v>52</v>
      </c>
      <c r="C80" s="36" t="s">
        <v>325</v>
      </c>
      <c r="D80" s="33" t="s">
        <v>54</v>
      </c>
      <c r="E80" s="79">
        <f>E79</f>
        <v>48</v>
      </c>
      <c r="F80" s="80"/>
      <c r="G80" s="80"/>
      <c r="H80" s="223"/>
      <c r="I80" s="80"/>
      <c r="J80" s="87"/>
      <c r="K80" s="80"/>
      <c r="L80" s="201"/>
      <c r="M80" s="202"/>
      <c r="N80" s="202"/>
      <c r="O80" s="202"/>
      <c r="P80" s="202"/>
      <c r="Q80" s="202"/>
    </row>
    <row r="81" spans="1:17" x14ac:dyDescent="0.25">
      <c r="A81" s="33">
        <f>IF(COUNTBLANK(B81)=1," ",COUNTA($B$13:B81))</f>
        <v>29</v>
      </c>
      <c r="B81" s="78" t="s">
        <v>52</v>
      </c>
      <c r="C81" s="36" t="s">
        <v>326</v>
      </c>
      <c r="D81" s="33" t="s">
        <v>54</v>
      </c>
      <c r="E81" s="79">
        <f>E80</f>
        <v>48</v>
      </c>
      <c r="F81" s="80"/>
      <c r="G81" s="80"/>
      <c r="H81" s="223"/>
      <c r="I81" s="87"/>
      <c r="J81" s="80"/>
      <c r="K81" s="80"/>
      <c r="L81" s="201"/>
      <c r="M81" s="202"/>
      <c r="N81" s="202"/>
      <c r="O81" s="202"/>
      <c r="P81" s="202"/>
      <c r="Q81" s="202"/>
    </row>
    <row r="82" spans="1:17" x14ac:dyDescent="0.25">
      <c r="A82" s="33">
        <f>IF(COUNTBLANK(B82)=1," ",COUNTA($B$13:B82))</f>
        <v>30</v>
      </c>
      <c r="B82" s="78" t="s">
        <v>52</v>
      </c>
      <c r="C82" s="36" t="s">
        <v>327</v>
      </c>
      <c r="D82" s="33" t="s">
        <v>54</v>
      </c>
      <c r="E82" s="79">
        <f>E81</f>
        <v>48</v>
      </c>
      <c r="F82" s="80"/>
      <c r="G82" s="80"/>
      <c r="H82" s="223"/>
      <c r="I82" s="87"/>
      <c r="J82" s="80"/>
      <c r="K82" s="80"/>
      <c r="L82" s="201"/>
      <c r="M82" s="202"/>
      <c r="N82" s="202"/>
      <c r="O82" s="202"/>
      <c r="P82" s="202"/>
      <c r="Q82" s="202"/>
    </row>
    <row r="83" spans="1:17" ht="22.5" x14ac:dyDescent="0.25">
      <c r="A83" s="33">
        <f>IF(COUNTBLANK(B83)=1," ",COUNTA($B$13:B83))</f>
        <v>31</v>
      </c>
      <c r="B83" s="78" t="s">
        <v>52</v>
      </c>
      <c r="C83" s="36" t="s">
        <v>328</v>
      </c>
      <c r="D83" s="33" t="s">
        <v>54</v>
      </c>
      <c r="E83" s="79">
        <v>12</v>
      </c>
      <c r="F83" s="80"/>
      <c r="G83" s="80"/>
      <c r="H83" s="223"/>
      <c r="I83" s="80"/>
      <c r="J83" s="87"/>
      <c r="K83" s="80"/>
      <c r="L83" s="201"/>
      <c r="M83" s="202"/>
      <c r="N83" s="202"/>
      <c r="O83" s="202"/>
      <c r="P83" s="202"/>
      <c r="Q83" s="202"/>
    </row>
    <row r="84" spans="1:17" x14ac:dyDescent="0.25">
      <c r="A84" s="33" t="str">
        <f>IF(COUNTBLANK(B84)=1," ",COUNTA($B$13:B84))</f>
        <v xml:space="preserve"> </v>
      </c>
      <c r="B84" s="33"/>
      <c r="C84" s="36" t="s">
        <v>329</v>
      </c>
      <c r="D84" s="90" t="s">
        <v>60</v>
      </c>
      <c r="E84" s="80">
        <f>ROUND(E83*F84,2)</f>
        <v>10.92</v>
      </c>
      <c r="F84" s="80">
        <v>0.91</v>
      </c>
      <c r="G84" s="80"/>
      <c r="H84" s="223"/>
      <c r="I84" s="80"/>
      <c r="J84" s="80"/>
      <c r="K84" s="80"/>
      <c r="L84" s="201"/>
      <c r="M84" s="202"/>
      <c r="N84" s="202"/>
      <c r="O84" s="202"/>
      <c r="P84" s="202"/>
      <c r="Q84" s="202"/>
    </row>
    <row r="85" spans="1:17" x14ac:dyDescent="0.25">
      <c r="A85" s="33" t="str">
        <f>IF(COUNTBLANK(B85)=1," ",COUNTA($B$13:B85))</f>
        <v xml:space="preserve"> </v>
      </c>
      <c r="B85" s="33"/>
      <c r="C85" s="36" t="s">
        <v>330</v>
      </c>
      <c r="D85" s="90" t="s">
        <v>56</v>
      </c>
      <c r="E85" s="80">
        <f>ROUND(E83*F85,0)</f>
        <v>72</v>
      </c>
      <c r="F85" s="80">
        <v>6</v>
      </c>
      <c r="G85" s="80"/>
      <c r="H85" s="223"/>
      <c r="I85" s="80"/>
      <c r="J85" s="80"/>
      <c r="K85" s="80"/>
      <c r="L85" s="201"/>
      <c r="M85" s="202"/>
      <c r="N85" s="202"/>
      <c r="O85" s="202"/>
      <c r="P85" s="202"/>
      <c r="Q85" s="202"/>
    </row>
    <row r="86" spans="1:17" x14ac:dyDescent="0.25">
      <c r="A86" s="33">
        <f>IF(COUNTBLANK(B86)=1," ",COUNTA($B$13:B86))</f>
        <v>32</v>
      </c>
      <c r="B86" s="78" t="s">
        <v>52</v>
      </c>
      <c r="C86" s="36" t="s">
        <v>331</v>
      </c>
      <c r="D86" s="33" t="s">
        <v>99</v>
      </c>
      <c r="E86" s="79">
        <f>11*7*0.1*0.3</f>
        <v>2.31</v>
      </c>
      <c r="F86" s="33"/>
      <c r="G86" s="80"/>
      <c r="H86" s="223"/>
      <c r="I86" s="80"/>
      <c r="J86" s="87"/>
      <c r="K86" s="80"/>
      <c r="L86" s="201"/>
      <c r="M86" s="202"/>
      <c r="N86" s="202"/>
      <c r="O86" s="202"/>
      <c r="P86" s="202"/>
      <c r="Q86" s="202"/>
    </row>
    <row r="87" spans="1:17" x14ac:dyDescent="0.25">
      <c r="A87" s="33" t="str">
        <f>IF(COUNTBLANK(B87)=1," ",COUNTA($B$13:B87))</f>
        <v xml:space="preserve"> </v>
      </c>
      <c r="B87" s="33"/>
      <c r="C87" s="36" t="s">
        <v>332</v>
      </c>
      <c r="D87" s="90" t="s">
        <v>56</v>
      </c>
      <c r="E87" s="80">
        <f>E86*F87</f>
        <v>693</v>
      </c>
      <c r="F87" s="80">
        <v>300</v>
      </c>
      <c r="G87" s="80"/>
      <c r="H87" s="223"/>
      <c r="I87" s="80"/>
      <c r="J87" s="80"/>
      <c r="K87" s="80"/>
      <c r="L87" s="201"/>
      <c r="M87" s="202"/>
      <c r="N87" s="202"/>
      <c r="O87" s="202"/>
      <c r="P87" s="202"/>
      <c r="Q87" s="202"/>
    </row>
    <row r="88" spans="1:17" x14ac:dyDescent="0.25">
      <c r="A88" s="33" t="str">
        <f>IF(COUNTBLANK(B88)=1," ",COUNTA($B$13:B88))</f>
        <v xml:space="preserve"> </v>
      </c>
      <c r="B88" s="33"/>
      <c r="C88" s="36" t="s">
        <v>333</v>
      </c>
      <c r="D88" s="33" t="s">
        <v>99</v>
      </c>
      <c r="E88" s="80">
        <f>E86*F88</f>
        <v>0.57750000000000001</v>
      </c>
      <c r="F88" s="80">
        <v>0.25</v>
      </c>
      <c r="G88" s="80"/>
      <c r="H88" s="223"/>
      <c r="I88" s="80"/>
      <c r="J88" s="80"/>
      <c r="K88" s="80"/>
      <c r="L88" s="201"/>
      <c r="M88" s="202"/>
      <c r="N88" s="202"/>
      <c r="O88" s="202"/>
      <c r="P88" s="202"/>
      <c r="Q88" s="202"/>
    </row>
    <row r="89" spans="1:17" x14ac:dyDescent="0.25">
      <c r="A89" s="33">
        <f>IF(COUNTBLANK(B89)=1," ",COUNTA($B$13:B89))</f>
        <v>33</v>
      </c>
      <c r="B89" s="78" t="s">
        <v>52</v>
      </c>
      <c r="C89" s="36" t="s">
        <v>334</v>
      </c>
      <c r="D89" s="33" t="s">
        <v>60</v>
      </c>
      <c r="E89" s="79">
        <f>7*11*0.7</f>
        <v>53.9</v>
      </c>
      <c r="F89" s="80"/>
      <c r="G89" s="80"/>
      <c r="H89" s="223"/>
      <c r="I89" s="87"/>
      <c r="J89" s="87"/>
      <c r="K89" s="80"/>
      <c r="L89" s="201"/>
      <c r="M89" s="202"/>
      <c r="N89" s="202"/>
      <c r="O89" s="202"/>
      <c r="P89" s="202"/>
      <c r="Q89" s="202"/>
    </row>
    <row r="90" spans="1:17" x14ac:dyDescent="0.25">
      <c r="A90" s="33" t="str">
        <f>IF(COUNTBLANK(B90)=1," ",COUNTA($B$13:B90))</f>
        <v xml:space="preserve"> </v>
      </c>
      <c r="B90" s="33"/>
      <c r="C90" s="36" t="s">
        <v>69</v>
      </c>
      <c r="D90" s="90" t="s">
        <v>70</v>
      </c>
      <c r="E90" s="80">
        <f>ROUNDUP(E89*F90,2)</f>
        <v>13.48</v>
      </c>
      <c r="F90" s="80">
        <v>0.25</v>
      </c>
      <c r="G90" s="80"/>
      <c r="H90" s="223"/>
      <c r="I90" s="80"/>
      <c r="J90" s="80"/>
      <c r="K90" s="80"/>
      <c r="L90" s="201"/>
      <c r="M90" s="202"/>
      <c r="N90" s="202"/>
      <c r="O90" s="202"/>
      <c r="P90" s="202"/>
      <c r="Q90" s="202"/>
    </row>
    <row r="91" spans="1:17" x14ac:dyDescent="0.25">
      <c r="A91" s="33" t="str">
        <f>IF(COUNTBLANK(B91)=1," ",COUNTA($B$13:B91))</f>
        <v xml:space="preserve"> </v>
      </c>
      <c r="B91" s="33"/>
      <c r="C91" s="36" t="s">
        <v>84</v>
      </c>
      <c r="D91" s="90" t="s">
        <v>70</v>
      </c>
      <c r="E91" s="80">
        <f>ROUNDUP(E89*F91,2)</f>
        <v>269.5</v>
      </c>
      <c r="F91" s="80">
        <v>5</v>
      </c>
      <c r="G91" s="80"/>
      <c r="H91" s="223"/>
      <c r="I91" s="80"/>
      <c r="J91" s="80"/>
      <c r="K91" s="80"/>
      <c r="L91" s="201"/>
      <c r="M91" s="202"/>
      <c r="N91" s="202"/>
      <c r="O91" s="202"/>
      <c r="P91" s="202"/>
      <c r="Q91" s="202"/>
    </row>
    <row r="92" spans="1:17" x14ac:dyDescent="0.25">
      <c r="A92" s="33" t="str">
        <f>IF(COUNTBLANK(B92)=1," ",COUNTA($B$13:B92))</f>
        <v xml:space="preserve"> </v>
      </c>
      <c r="B92" s="33"/>
      <c r="C92" s="36" t="s">
        <v>85</v>
      </c>
      <c r="D92" s="90" t="s">
        <v>60</v>
      </c>
      <c r="E92" s="80">
        <f>ROUNDUP(E89*F92,2)</f>
        <v>118.58</v>
      </c>
      <c r="F92" s="80">
        <v>2.2000000000000002</v>
      </c>
      <c r="G92" s="80"/>
      <c r="H92" s="223"/>
      <c r="I92" s="80"/>
      <c r="J92" s="80"/>
      <c r="K92" s="80"/>
      <c r="L92" s="201"/>
      <c r="M92" s="202"/>
      <c r="N92" s="202"/>
      <c r="O92" s="202"/>
      <c r="P92" s="202"/>
      <c r="Q92" s="202"/>
    </row>
    <row r="93" spans="1:17" x14ac:dyDescent="0.25">
      <c r="A93" s="33" t="str">
        <f>IF(COUNTBLANK(B93)=1," ",COUNTA($B$13:B93))</f>
        <v xml:space="preserve"> </v>
      </c>
      <c r="B93" s="33"/>
      <c r="C93" s="36" t="s">
        <v>90</v>
      </c>
      <c r="D93" s="90" t="s">
        <v>70</v>
      </c>
      <c r="E93" s="80">
        <f>ROUNDUP(E89*F93,2)</f>
        <v>13.48</v>
      </c>
      <c r="F93" s="80">
        <v>0.25</v>
      </c>
      <c r="G93" s="80"/>
      <c r="H93" s="223"/>
      <c r="I93" s="80"/>
      <c r="J93" s="80"/>
      <c r="K93" s="80"/>
      <c r="L93" s="201"/>
      <c r="M93" s="202"/>
      <c r="N93" s="202"/>
      <c r="O93" s="202"/>
      <c r="P93" s="202"/>
      <c r="Q93" s="202"/>
    </row>
    <row r="94" spans="1:17" x14ac:dyDescent="0.25">
      <c r="A94" s="33" t="str">
        <f>IF(COUNTBLANK(B94)=1," ",COUNTA($B$13:B94))</f>
        <v xml:space="preserve"> </v>
      </c>
      <c r="B94" s="33"/>
      <c r="C94" s="36" t="s">
        <v>335</v>
      </c>
      <c r="D94" s="90" t="s">
        <v>70</v>
      </c>
      <c r="E94" s="80">
        <f>ROUNDUP(E89*F94,2)</f>
        <v>199.43</v>
      </c>
      <c r="F94" s="80">
        <v>3.7</v>
      </c>
      <c r="G94" s="80"/>
      <c r="H94" s="223"/>
      <c r="I94" s="80"/>
      <c r="J94" s="80"/>
      <c r="K94" s="80"/>
      <c r="L94" s="201"/>
      <c r="M94" s="202"/>
      <c r="N94" s="202"/>
      <c r="O94" s="202"/>
      <c r="P94" s="202"/>
      <c r="Q94" s="202"/>
    </row>
    <row r="95" spans="1:17" x14ac:dyDescent="0.25">
      <c r="A95" s="33" t="str">
        <f>IF(COUNTBLANK(B95)=1," ",COUNTA($B$13:B95))</f>
        <v xml:space="preserve"> </v>
      </c>
      <c r="B95" s="33"/>
      <c r="C95" s="36" t="s">
        <v>92</v>
      </c>
      <c r="D95" s="33" t="s">
        <v>336</v>
      </c>
      <c r="E95" s="80">
        <f>ROUNDUP(E89*F95,0)</f>
        <v>5</v>
      </c>
      <c r="F95" s="80">
        <v>0.09</v>
      </c>
      <c r="G95" s="80"/>
      <c r="H95" s="223"/>
      <c r="I95" s="80"/>
      <c r="J95" s="80"/>
      <c r="K95" s="80"/>
      <c r="L95" s="201"/>
      <c r="M95" s="202"/>
      <c r="N95" s="202"/>
      <c r="O95" s="202"/>
      <c r="P95" s="202"/>
      <c r="Q95" s="202"/>
    </row>
    <row r="96" spans="1:17" ht="22.5" x14ac:dyDescent="0.25">
      <c r="A96" s="33">
        <f>IF(COUNTBLANK(B96)=1," ",COUNTA($B$13:B96))</f>
        <v>34</v>
      </c>
      <c r="B96" s="78" t="s">
        <v>52</v>
      </c>
      <c r="C96" s="36" t="s">
        <v>337</v>
      </c>
      <c r="D96" s="33" t="s">
        <v>212</v>
      </c>
      <c r="E96" s="79">
        <v>11</v>
      </c>
      <c r="F96" s="80"/>
      <c r="G96" s="80"/>
      <c r="H96" s="223"/>
      <c r="I96" s="80"/>
      <c r="J96" s="87"/>
      <c r="K96" s="80"/>
      <c r="L96" s="201"/>
      <c r="M96" s="202"/>
      <c r="N96" s="202"/>
      <c r="O96" s="202"/>
      <c r="P96" s="202"/>
      <c r="Q96" s="202"/>
    </row>
    <row r="97" spans="1:17" x14ac:dyDescent="0.25">
      <c r="A97" s="33" t="str">
        <f>IF(COUNTBLANK(B97)=1," ",COUNTA($B$13:B97))</f>
        <v xml:space="preserve"> </v>
      </c>
      <c r="B97" s="33"/>
      <c r="C97" s="36" t="s">
        <v>329</v>
      </c>
      <c r="D97" s="33" t="s">
        <v>212</v>
      </c>
      <c r="E97" s="79">
        <f>E96</f>
        <v>11</v>
      </c>
      <c r="F97" s="80"/>
      <c r="G97" s="80"/>
      <c r="H97" s="223"/>
      <c r="I97" s="80"/>
      <c r="J97" s="80"/>
      <c r="K97" s="80"/>
      <c r="L97" s="201"/>
      <c r="M97" s="202"/>
      <c r="N97" s="202"/>
      <c r="O97" s="202"/>
      <c r="P97" s="202"/>
      <c r="Q97" s="202"/>
    </row>
    <row r="98" spans="1:17" x14ac:dyDescent="0.25">
      <c r="A98" s="33" t="str">
        <f>IF(COUNTBLANK(B98)=1," ",COUNTA($B$13:B98))</f>
        <v xml:space="preserve"> </v>
      </c>
      <c r="B98" s="33"/>
      <c r="C98" s="36" t="s">
        <v>330</v>
      </c>
      <c r="D98" s="90" t="s">
        <v>56</v>
      </c>
      <c r="E98" s="80">
        <f>ROUNDUP(7/0.6*E96,0)</f>
        <v>129</v>
      </c>
      <c r="F98" s="80"/>
      <c r="G98" s="80"/>
      <c r="H98" s="223"/>
      <c r="I98" s="80"/>
      <c r="J98" s="80"/>
      <c r="K98" s="80"/>
      <c r="L98" s="201"/>
      <c r="M98" s="202"/>
      <c r="N98" s="202"/>
      <c r="O98" s="202"/>
      <c r="P98" s="202"/>
      <c r="Q98" s="202"/>
    </row>
    <row r="99" spans="1:17" x14ac:dyDescent="0.25">
      <c r="A99" s="33">
        <f>IF(COUNTBLANK(B99)=1," ",COUNTA($B$13:B99))</f>
        <v>35</v>
      </c>
      <c r="B99" s="78" t="s">
        <v>52</v>
      </c>
      <c r="C99" s="36" t="s">
        <v>338</v>
      </c>
      <c r="D99" s="33" t="s">
        <v>212</v>
      </c>
      <c r="E99" s="79">
        <v>11</v>
      </c>
      <c r="F99" s="80"/>
      <c r="G99" s="80"/>
      <c r="H99" s="223"/>
      <c r="I99" s="80"/>
      <c r="J99" s="87"/>
      <c r="K99" s="80"/>
      <c r="L99" s="201"/>
      <c r="M99" s="202"/>
      <c r="N99" s="202"/>
      <c r="O99" s="202"/>
      <c r="P99" s="202"/>
      <c r="Q99" s="202"/>
    </row>
    <row r="100" spans="1:17" ht="22.5" x14ac:dyDescent="0.25">
      <c r="A100" s="33">
        <f>IF(COUNTBLANK(B100)=1," ",COUNTA($B$13:B100))</f>
        <v>36</v>
      </c>
      <c r="B100" s="78" t="s">
        <v>52</v>
      </c>
      <c r="C100" s="36" t="s">
        <v>339</v>
      </c>
      <c r="D100" s="33" t="s">
        <v>60</v>
      </c>
      <c r="E100" s="79">
        <f>E99*0.75</f>
        <v>8.25</v>
      </c>
      <c r="F100" s="80"/>
      <c r="G100" s="80"/>
      <c r="H100" s="223"/>
      <c r="I100" s="80"/>
      <c r="J100" s="87"/>
      <c r="K100" s="80"/>
      <c r="L100" s="201"/>
      <c r="M100" s="202"/>
      <c r="N100" s="202"/>
      <c r="O100" s="202"/>
      <c r="P100" s="202"/>
      <c r="Q100" s="202"/>
    </row>
    <row r="101" spans="1:17" x14ac:dyDescent="0.25">
      <c r="A101" s="33">
        <f>IF(COUNTBLANK(B101)=1," ",COUNTA($B$13:B101))</f>
        <v>37</v>
      </c>
      <c r="B101" s="78" t="s">
        <v>52</v>
      </c>
      <c r="C101" s="36" t="s">
        <v>340</v>
      </c>
      <c r="D101" s="33" t="s">
        <v>54</v>
      </c>
      <c r="E101" s="79">
        <f>4.8*3</f>
        <v>14.399999999999999</v>
      </c>
      <c r="F101" s="86"/>
      <c r="G101" s="80"/>
      <c r="H101" s="223"/>
      <c r="I101" s="80"/>
      <c r="J101" s="226"/>
      <c r="K101" s="80"/>
      <c r="L101" s="201"/>
      <c r="M101" s="202"/>
      <c r="N101" s="202"/>
      <c r="O101" s="202"/>
      <c r="P101" s="202"/>
      <c r="Q101" s="202"/>
    </row>
    <row r="102" spans="1:17" x14ac:dyDescent="0.25">
      <c r="A102" s="33" t="str">
        <f>IF(COUNTBLANK(B102)=1," ",COUNTA($B$13:B102))</f>
        <v xml:space="preserve"> </v>
      </c>
      <c r="B102" s="85"/>
      <c r="C102" s="36" t="s">
        <v>341</v>
      </c>
      <c r="D102" s="85" t="s">
        <v>54</v>
      </c>
      <c r="E102" s="205">
        <f>E101*F102</f>
        <v>15.12</v>
      </c>
      <c r="F102" s="86">
        <v>1.05</v>
      </c>
      <c r="G102" s="80"/>
      <c r="H102" s="223"/>
      <c r="I102" s="86"/>
      <c r="J102" s="86"/>
      <c r="K102" s="80"/>
      <c r="L102" s="201"/>
      <c r="M102" s="202"/>
      <c r="N102" s="202"/>
      <c r="O102" s="202"/>
      <c r="P102" s="202"/>
      <c r="Q102" s="202"/>
    </row>
    <row r="103" spans="1:17" x14ac:dyDescent="0.25">
      <c r="A103" s="33"/>
      <c r="B103" s="85"/>
      <c r="C103" s="36" t="s">
        <v>342</v>
      </c>
      <c r="D103" s="85" t="s">
        <v>54</v>
      </c>
      <c r="E103" s="205">
        <v>9</v>
      </c>
      <c r="F103" s="86"/>
      <c r="G103" s="80"/>
      <c r="H103" s="223"/>
      <c r="I103" s="86"/>
      <c r="J103" s="86"/>
      <c r="K103" s="80"/>
      <c r="L103" s="201"/>
      <c r="M103" s="202"/>
      <c r="N103" s="202"/>
      <c r="O103" s="202"/>
      <c r="P103" s="202"/>
      <c r="Q103" s="202"/>
    </row>
    <row r="104" spans="1:17" x14ac:dyDescent="0.25">
      <c r="A104" s="33" t="str">
        <f>IF(COUNTBLANK(B104)=1," ",COUNTA($B$13:B104))</f>
        <v xml:space="preserve"> </v>
      </c>
      <c r="B104" s="85"/>
      <c r="C104" s="36" t="s">
        <v>343</v>
      </c>
      <c r="D104" s="90" t="s">
        <v>56</v>
      </c>
      <c r="E104" s="205">
        <f>E101*F104</f>
        <v>8.6399999999999988</v>
      </c>
      <c r="F104" s="86">
        <v>0.6</v>
      </c>
      <c r="G104" s="80"/>
      <c r="H104" s="223"/>
      <c r="I104" s="86"/>
      <c r="J104" s="86"/>
      <c r="K104" s="80"/>
      <c r="L104" s="201"/>
      <c r="M104" s="202"/>
      <c r="N104" s="202"/>
      <c r="O104" s="202"/>
      <c r="P104" s="202"/>
      <c r="Q104" s="202"/>
    </row>
    <row r="105" spans="1:17" x14ac:dyDescent="0.25">
      <c r="A105" s="33"/>
      <c r="B105" s="85"/>
      <c r="C105" s="36" t="s">
        <v>344</v>
      </c>
      <c r="D105" s="90" t="s">
        <v>56</v>
      </c>
      <c r="E105" s="205">
        <f>E103*F105</f>
        <v>5.3999999999999995</v>
      </c>
      <c r="F105" s="86">
        <v>0.6</v>
      </c>
      <c r="G105" s="80"/>
      <c r="H105" s="223"/>
      <c r="I105" s="86"/>
      <c r="J105" s="86"/>
      <c r="K105" s="80"/>
      <c r="L105" s="201"/>
      <c r="M105" s="202"/>
      <c r="N105" s="202"/>
      <c r="O105" s="202"/>
      <c r="P105" s="202"/>
      <c r="Q105" s="202"/>
    </row>
    <row r="106" spans="1:17" x14ac:dyDescent="0.25">
      <c r="A106" s="33" t="str">
        <f>IF(COUNTBLANK(B106)=1," ",COUNTA($B$13:B106))</f>
        <v xml:space="preserve"> </v>
      </c>
      <c r="B106" s="85"/>
      <c r="C106" s="36" t="s">
        <v>345</v>
      </c>
      <c r="D106" s="90" t="s">
        <v>56</v>
      </c>
      <c r="E106" s="86">
        <v>3</v>
      </c>
      <c r="F106" s="80"/>
      <c r="G106" s="80"/>
      <c r="H106" s="223"/>
      <c r="I106" s="86"/>
      <c r="J106" s="86"/>
      <c r="K106" s="80"/>
      <c r="L106" s="201"/>
      <c r="M106" s="202"/>
      <c r="N106" s="202"/>
      <c r="O106" s="202"/>
      <c r="P106" s="202"/>
      <c r="Q106" s="202"/>
    </row>
    <row r="107" spans="1:17" x14ac:dyDescent="0.25">
      <c r="A107" s="33" t="str">
        <f>IF(COUNTBLANK(B107)=1," ",COUNTA($B$13:B107))</f>
        <v xml:space="preserve"> </v>
      </c>
      <c r="B107" s="85"/>
      <c r="C107" s="36" t="s">
        <v>346</v>
      </c>
      <c r="D107" s="90" t="s">
        <v>56</v>
      </c>
      <c r="E107" s="86">
        <f>E101*F107</f>
        <v>16.847999999999999</v>
      </c>
      <c r="F107" s="80">
        <v>1.17</v>
      </c>
      <c r="G107" s="80"/>
      <c r="H107" s="223"/>
      <c r="I107" s="86"/>
      <c r="J107" s="86"/>
      <c r="K107" s="80"/>
      <c r="L107" s="201"/>
      <c r="M107" s="202"/>
      <c r="N107" s="202"/>
      <c r="O107" s="202"/>
      <c r="P107" s="202"/>
      <c r="Q107" s="202"/>
    </row>
    <row r="108" spans="1:17" x14ac:dyDescent="0.25">
      <c r="A108" s="33" t="str">
        <f>IF(COUNTBLANK(B108)=1," ",COUNTA($B$13:B108))</f>
        <v xml:space="preserve"> </v>
      </c>
      <c r="B108" s="78"/>
      <c r="C108" s="36" t="s">
        <v>347</v>
      </c>
      <c r="D108" s="33"/>
      <c r="E108" s="79"/>
      <c r="F108" s="80"/>
      <c r="G108" s="80"/>
      <c r="H108" s="223"/>
      <c r="I108" s="80"/>
      <c r="J108" s="80"/>
      <c r="K108" s="80"/>
      <c r="L108" s="201"/>
      <c r="M108" s="202"/>
      <c r="N108" s="202"/>
      <c r="O108" s="202"/>
      <c r="P108" s="202"/>
      <c r="Q108" s="202"/>
    </row>
    <row r="109" spans="1:17" ht="33.75" x14ac:dyDescent="0.25">
      <c r="A109" s="33">
        <f>IF(COUNTBLANK(B109)=1," ",COUNTA($B$13:B109))</f>
        <v>38</v>
      </c>
      <c r="B109" s="78" t="s">
        <v>52</v>
      </c>
      <c r="C109" s="36" t="s">
        <v>348</v>
      </c>
      <c r="D109" s="33" t="s">
        <v>212</v>
      </c>
      <c r="E109" s="79">
        <v>3</v>
      </c>
      <c r="F109" s="80"/>
      <c r="G109" s="80"/>
      <c r="H109" s="223"/>
      <c r="I109" s="80"/>
      <c r="J109" s="87"/>
      <c r="K109" s="80"/>
      <c r="L109" s="201"/>
      <c r="M109" s="202"/>
      <c r="N109" s="202"/>
      <c r="O109" s="202"/>
      <c r="P109" s="202"/>
      <c r="Q109" s="202"/>
    </row>
    <row r="110" spans="1:17" x14ac:dyDescent="0.25">
      <c r="A110" s="33" t="str">
        <f>IF(COUNTBLANK(B110)=1," ",COUNTA($B$13:B110))</f>
        <v xml:space="preserve"> </v>
      </c>
      <c r="B110" s="33"/>
      <c r="C110" s="36" t="s">
        <v>349</v>
      </c>
      <c r="D110" s="33" t="s">
        <v>212</v>
      </c>
      <c r="E110" s="80">
        <f>E109</f>
        <v>3</v>
      </c>
      <c r="F110" s="80">
        <v>1.1000000000000001</v>
      </c>
      <c r="G110" s="80"/>
      <c r="H110" s="223"/>
      <c r="I110" s="80"/>
      <c r="J110" s="80"/>
      <c r="K110" s="80"/>
      <c r="L110" s="201"/>
      <c r="M110" s="202"/>
      <c r="N110" s="202"/>
      <c r="O110" s="202"/>
      <c r="P110" s="202"/>
      <c r="Q110" s="202"/>
    </row>
    <row r="111" spans="1:17" x14ac:dyDescent="0.25">
      <c r="A111" s="33" t="str">
        <f>IF(COUNTBLANK(B111)=1," ",COUNTA($B$13:B111))</f>
        <v xml:space="preserve"> </v>
      </c>
      <c r="B111" s="33"/>
      <c r="C111" s="36" t="s">
        <v>350</v>
      </c>
      <c r="D111" s="33" t="s">
        <v>212</v>
      </c>
      <c r="E111" s="80">
        <f>E110</f>
        <v>3</v>
      </c>
      <c r="F111" s="80">
        <v>6</v>
      </c>
      <c r="G111" s="80"/>
      <c r="H111" s="223"/>
      <c r="I111" s="80"/>
      <c r="J111" s="80"/>
      <c r="K111" s="80"/>
      <c r="L111" s="201"/>
      <c r="M111" s="202"/>
      <c r="N111" s="202"/>
      <c r="O111" s="202"/>
      <c r="P111" s="202"/>
      <c r="Q111" s="202"/>
    </row>
    <row r="112" spans="1:17" x14ac:dyDescent="0.25">
      <c r="A112" s="37" t="str">
        <f>IF(COUNTBLANK(I112)=1," ",COUNTA($I$112:I112))</f>
        <v xml:space="preserve"> </v>
      </c>
      <c r="B112" s="37"/>
      <c r="C112" s="38" t="s">
        <v>101</v>
      </c>
      <c r="D112" s="37"/>
      <c r="E112" s="31"/>
      <c r="F112" s="31"/>
      <c r="G112" s="37"/>
      <c r="H112" s="37"/>
      <c r="I112" s="37"/>
      <c r="J112" s="37"/>
      <c r="K112" s="37"/>
      <c r="L112" s="37"/>
      <c r="M112" s="100">
        <f>SUMIF($Q13:$Q111,"&gt;0",M13:M111)</f>
        <v>0</v>
      </c>
      <c r="N112" s="100">
        <f>SUMIF($Q13:$Q111,"&gt;0",N13:N111)</f>
        <v>0</v>
      </c>
      <c r="O112" s="100">
        <f>SUMIF($Q13:$Q111,"&gt;0",O13:O111)</f>
        <v>0</v>
      </c>
      <c r="P112" s="100">
        <f>SUMIF($Q13:$Q111,"&gt;0",P13:P111)</f>
        <v>0</v>
      </c>
      <c r="Q112" s="100">
        <f>SUMIF($Q13:$Q111,"&gt;0",Q13:Q111)</f>
        <v>0</v>
      </c>
    </row>
    <row r="113" spans="1:17" x14ac:dyDescent="0.25">
      <c r="A113" s="37" t="str">
        <f>IF(COUNTBLANK(I113)=1," ",COUNTA($I$112:I113))</f>
        <v xml:space="preserve"> </v>
      </c>
      <c r="B113" s="37"/>
      <c r="C113" s="104" t="s">
        <v>102</v>
      </c>
      <c r="D113" s="37"/>
      <c r="E113" s="37"/>
      <c r="F113" s="37"/>
      <c r="G113" s="184">
        <v>0</v>
      </c>
      <c r="H113" s="37"/>
      <c r="I113" s="37"/>
      <c r="J113" s="37"/>
      <c r="K113" s="37"/>
      <c r="L113" s="37"/>
      <c r="M113" s="100"/>
      <c r="N113" s="100"/>
      <c r="O113" s="100">
        <f>O112*G113</f>
        <v>0</v>
      </c>
      <c r="P113" s="100"/>
      <c r="Q113" s="100"/>
    </row>
    <row r="114" spans="1:17" x14ac:dyDescent="0.25">
      <c r="A114" s="37" t="str">
        <f>IF(COUNTBLANK(I114)=1," ",COUNTA($I$112:I114))</f>
        <v xml:space="preserve"> </v>
      </c>
      <c r="B114" s="37"/>
      <c r="C114" s="38" t="s">
        <v>103</v>
      </c>
      <c r="D114" s="37"/>
      <c r="E114" s="31"/>
      <c r="F114" s="31"/>
      <c r="G114" s="37"/>
      <c r="H114" s="31"/>
      <c r="I114" s="37"/>
      <c r="J114" s="37"/>
      <c r="K114" s="37"/>
      <c r="L114" s="37"/>
      <c r="M114" s="100">
        <f>SUM(M112:M113)</f>
        <v>0</v>
      </c>
      <c r="N114" s="100">
        <f>SUM(N112:N113)</f>
        <v>0</v>
      </c>
      <c r="O114" s="100">
        <f>SUM(O112:O113)</f>
        <v>0</v>
      </c>
      <c r="P114" s="100">
        <f>SUM(P112:P113)</f>
        <v>0</v>
      </c>
      <c r="Q114" s="100">
        <f>SUM(N114:P114)</f>
        <v>0</v>
      </c>
    </row>
    <row r="115" spans="1:17" x14ac:dyDescent="0.25">
      <c r="A115" s="31"/>
      <c r="B115" s="31"/>
      <c r="C115" s="52"/>
      <c r="D115" s="31"/>
      <c r="E115" s="31"/>
      <c r="F115" s="31"/>
      <c r="G115" s="156"/>
      <c r="H115" s="31"/>
      <c r="I115" s="31"/>
      <c r="J115" s="31"/>
      <c r="K115" s="31"/>
      <c r="L115" s="31"/>
      <c r="M115" s="31"/>
      <c r="N115" s="31"/>
      <c r="O115" s="31"/>
      <c r="P115" s="31"/>
      <c r="Q115" s="31"/>
    </row>
    <row r="116" spans="1:17" x14ac:dyDescent="0.25">
      <c r="A116" s="31"/>
      <c r="B116" s="31"/>
      <c r="C116" s="53" t="s">
        <v>27</v>
      </c>
      <c r="D116" s="31"/>
      <c r="E116" s="31"/>
      <c r="F116" s="31"/>
      <c r="G116" s="156"/>
      <c r="H116" s="31"/>
      <c r="I116" s="31"/>
      <c r="J116" s="31"/>
      <c r="K116" s="31"/>
      <c r="L116" s="31"/>
      <c r="M116" s="31"/>
      <c r="N116" s="31"/>
      <c r="O116" s="31"/>
      <c r="P116" s="31"/>
      <c r="Q116" s="31"/>
    </row>
    <row r="117" spans="1:17" x14ac:dyDescent="0.25">
      <c r="A117" s="31"/>
      <c r="B117" s="31"/>
      <c r="C117" s="54" t="s">
        <v>28</v>
      </c>
      <c r="D117" s="31"/>
      <c r="E117" s="31"/>
      <c r="F117" s="31"/>
      <c r="G117" s="156"/>
      <c r="H117" s="31"/>
      <c r="I117" s="31"/>
      <c r="J117" s="31"/>
      <c r="K117" s="31"/>
      <c r="L117" s="31"/>
      <c r="M117" s="31"/>
      <c r="N117" s="31"/>
      <c r="O117" s="31"/>
      <c r="P117" s="31"/>
      <c r="Q117" s="31"/>
    </row>
    <row r="118" spans="1:17" x14ac:dyDescent="0.25">
      <c r="C118" s="43"/>
    </row>
    <row r="119" spans="1:17" x14ac:dyDescent="0.25">
      <c r="C119" s="55" t="s">
        <v>29</v>
      </c>
    </row>
    <row r="120" spans="1:17" x14ac:dyDescent="0.25">
      <c r="C120" s="48" t="s">
        <v>30</v>
      </c>
    </row>
  </sheetData>
  <mergeCells count="11">
    <mergeCell ref="A1:G1"/>
    <mergeCell ref="A8:D8"/>
    <mergeCell ref="G8:J8"/>
    <mergeCell ref="N9:Q9"/>
    <mergeCell ref="A10:A11"/>
    <mergeCell ref="B10:B11"/>
    <mergeCell ref="C10:C11"/>
    <mergeCell ref="D10:D11"/>
    <mergeCell ref="E10:E11"/>
    <mergeCell ref="G10:L10"/>
    <mergeCell ref="M10:Q10"/>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9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MK60"/>
  <sheetViews>
    <sheetView topLeftCell="A16" zoomScaleNormal="100" workbookViewId="0">
      <selection activeCell="C20" sqref="C20"/>
    </sheetView>
  </sheetViews>
  <sheetFormatPr defaultRowHeight="15" x14ac:dyDescent="0.25"/>
  <cols>
    <col min="1" max="1" width="2.5703125" style="58"/>
    <col min="2" max="2" width="4.28515625" style="58"/>
    <col min="3" max="3" width="43.5703125" style="194"/>
    <col min="4" max="5" width="5.42578125" style="58"/>
    <col min="6" max="6" width="0" style="58" hidden="1"/>
    <col min="7" max="7" width="5.85546875" style="58"/>
    <col min="8" max="12" width="8.7109375" style="58"/>
    <col min="13" max="14" width="7.5703125" style="58"/>
    <col min="15" max="15" width="8.140625" style="58"/>
    <col min="16" max="16" width="7.5703125" style="58"/>
    <col min="17" max="17" width="8.42578125" style="58"/>
    <col min="18" max="1018" width="8.28515625" style="58"/>
    <col min="1019" max="1025" width="8.7109375" style="58"/>
  </cols>
  <sheetData>
    <row r="1" spans="1:17" s="154" customFormat="1" ht="11.25" x14ac:dyDescent="0.2">
      <c r="A1" s="12" t="s">
        <v>31</v>
      </c>
      <c r="B1" s="12"/>
      <c r="C1" s="12"/>
      <c r="D1" s="12"/>
      <c r="E1" s="12"/>
      <c r="F1" s="12"/>
      <c r="G1" s="12"/>
      <c r="H1" s="19">
        <v>2</v>
      </c>
      <c r="I1" s="19"/>
      <c r="J1" s="19"/>
      <c r="K1" s="19"/>
      <c r="L1" s="19"/>
      <c r="M1" s="19"/>
      <c r="N1" s="19"/>
      <c r="O1" s="19"/>
      <c r="P1" s="19"/>
      <c r="Q1" s="19"/>
    </row>
    <row r="2" spans="1:17" s="157" customFormat="1" ht="11.25" x14ac:dyDescent="0.2">
      <c r="A2" s="21"/>
      <c r="B2" s="19"/>
      <c r="C2" s="20" t="s">
        <v>351</v>
      </c>
      <c r="D2" s="19"/>
      <c r="E2" s="19"/>
      <c r="F2" s="19"/>
      <c r="G2" s="19"/>
      <c r="H2" s="156"/>
      <c r="I2" s="156"/>
      <c r="J2" s="156"/>
      <c r="K2" s="156"/>
      <c r="L2" s="156"/>
      <c r="M2" s="156"/>
      <c r="N2" s="156"/>
      <c r="O2" s="156"/>
      <c r="P2" s="156"/>
      <c r="Q2" s="156"/>
    </row>
    <row r="3" spans="1:17" x14ac:dyDescent="0.25">
      <c r="A3" s="23" t="str">
        <f>KPDV!A3</f>
        <v>Būves nosaukums: Daudzdzīvokļu dzīvojamās mājas fasādes vienkāršotā atjaunošana</v>
      </c>
      <c r="B3" s="38"/>
      <c r="C3" s="183"/>
      <c r="D3" s="38"/>
      <c r="E3" s="38"/>
      <c r="F3" s="38"/>
      <c r="G3" s="38"/>
      <c r="H3" s="38"/>
      <c r="I3" s="38"/>
      <c r="J3" s="38"/>
      <c r="K3" s="38"/>
      <c r="L3" s="38"/>
      <c r="M3" s="37"/>
      <c r="N3" s="37"/>
      <c r="O3" s="37"/>
      <c r="P3" s="37"/>
      <c r="Q3" s="156"/>
    </row>
    <row r="4" spans="1:17" x14ac:dyDescent="0.25">
      <c r="A4" s="23" t="str">
        <f>KPDV!A4</f>
        <v>Objekta nosaukums: Daudzdzīvokļu dzīvojamās mājas Ed. Tisē ielā 48, Liepājā, 
fasādes vienkāršotā atjaunošana</v>
      </c>
      <c r="B4" s="52"/>
      <c r="C4" s="195"/>
      <c r="D4" s="52"/>
      <c r="E4" s="52"/>
      <c r="F4" s="52"/>
      <c r="G4" s="52"/>
      <c r="H4" s="52"/>
      <c r="I4" s="31"/>
      <c r="J4" s="31"/>
      <c r="K4" s="37"/>
      <c r="L4" s="37"/>
      <c r="M4" s="37"/>
      <c r="N4" s="37"/>
      <c r="O4" s="37"/>
      <c r="P4" s="37"/>
      <c r="Q4" s="156"/>
    </row>
    <row r="5" spans="1:17" x14ac:dyDescent="0.25">
      <c r="A5" s="27" t="str">
        <f>KPDV!A5</f>
        <v>Objekta adrese: Tisē iela 48 Liepājā</v>
      </c>
      <c r="B5" s="31"/>
      <c r="C5" s="23"/>
      <c r="D5" s="31"/>
      <c r="E5" s="52"/>
      <c r="F5" s="52"/>
      <c r="G5" s="31"/>
      <c r="H5" s="31"/>
      <c r="I5" s="31"/>
      <c r="J5" s="31"/>
      <c r="K5" s="37"/>
      <c r="L5" s="37"/>
      <c r="M5" s="37"/>
      <c r="N5" s="37"/>
      <c r="O5" s="37"/>
      <c r="P5" s="37"/>
      <c r="Q5" s="156"/>
    </row>
    <row r="6" spans="1:17" x14ac:dyDescent="0.25">
      <c r="A6" s="27" t="str">
        <f>KPDV!A6</f>
        <v>Pasūtījuma Nr.WS-64-15</v>
      </c>
      <c r="B6" s="31"/>
      <c r="C6" s="23"/>
      <c r="D6" s="31"/>
      <c r="E6" s="31"/>
      <c r="F6" s="31"/>
      <c r="G6" s="31"/>
      <c r="H6" s="31"/>
      <c r="I6" s="31"/>
      <c r="J6" s="31"/>
      <c r="K6" s="37"/>
      <c r="L6" s="37"/>
      <c r="M6" s="37"/>
      <c r="N6" s="37"/>
      <c r="O6" s="37"/>
      <c r="P6" s="37"/>
      <c r="Q6" s="156"/>
    </row>
    <row r="7" spans="1:17" x14ac:dyDescent="0.25">
      <c r="A7" s="27" t="str">
        <f>KPDV!A7</f>
        <v>Pasūtītājs: SIA "Liepājas namu apsaimniekotājs"</v>
      </c>
      <c r="B7" s="31"/>
      <c r="C7" s="23"/>
      <c r="D7" s="31"/>
      <c r="E7" s="31"/>
      <c r="F7" s="31"/>
      <c r="G7" s="31"/>
      <c r="H7" s="31"/>
      <c r="I7" s="31"/>
      <c r="J7" s="31"/>
      <c r="K7" s="37"/>
      <c r="L7" s="37"/>
      <c r="M7" s="37"/>
      <c r="N7" s="37"/>
      <c r="O7" s="37"/>
      <c r="P7" s="37"/>
      <c r="Q7" s="156"/>
    </row>
    <row r="8" spans="1:17" x14ac:dyDescent="0.25">
      <c r="A8" s="293" t="s">
        <v>33</v>
      </c>
      <c r="B8" s="293"/>
      <c r="C8" s="293"/>
      <c r="D8" s="293"/>
      <c r="E8" s="62" t="s">
        <v>34</v>
      </c>
      <c r="F8" s="156"/>
      <c r="G8" s="294" t="s">
        <v>35</v>
      </c>
      <c r="H8" s="294"/>
      <c r="I8" s="294"/>
      <c r="J8" s="294"/>
      <c r="K8" s="104"/>
      <c r="L8" s="104"/>
      <c r="M8" s="104"/>
      <c r="N8" s="104" t="s">
        <v>188</v>
      </c>
      <c r="O8" s="104"/>
      <c r="P8" s="159">
        <f>Q54</f>
        <v>0</v>
      </c>
      <c r="Q8" s="160" t="s">
        <v>189</v>
      </c>
    </row>
    <row r="9" spans="1:17" ht="13.9" customHeight="1" x14ac:dyDescent="0.25">
      <c r="A9" s="21"/>
      <c r="B9" s="156"/>
      <c r="C9" s="21"/>
      <c r="D9" s="156"/>
      <c r="E9" s="156"/>
      <c r="F9" s="156"/>
      <c r="G9" s="156"/>
      <c r="H9" s="156"/>
      <c r="I9" s="156"/>
      <c r="J9" s="156"/>
      <c r="K9" s="156"/>
      <c r="L9" s="156"/>
      <c r="M9" s="156"/>
      <c r="N9" s="298" t="s">
        <v>352</v>
      </c>
      <c r="O9" s="298"/>
      <c r="P9" s="298"/>
      <c r="Q9" s="298"/>
    </row>
    <row r="10" spans="1:17" ht="14.25" customHeight="1" x14ac:dyDescent="0.25">
      <c r="A10" s="296" t="s">
        <v>37</v>
      </c>
      <c r="B10" s="8" t="s">
        <v>38</v>
      </c>
      <c r="C10" s="299" t="s">
        <v>39</v>
      </c>
      <c r="D10" s="6" t="s">
        <v>40</v>
      </c>
      <c r="E10" s="8" t="s">
        <v>41</v>
      </c>
      <c r="F10" s="66">
        <v>1</v>
      </c>
      <c r="G10" s="5" t="s">
        <v>42</v>
      </c>
      <c r="H10" s="5"/>
      <c r="I10" s="5"/>
      <c r="J10" s="5"/>
      <c r="K10" s="5"/>
      <c r="L10" s="5"/>
      <c r="M10" s="5" t="s">
        <v>43</v>
      </c>
      <c r="N10" s="5"/>
      <c r="O10" s="5"/>
      <c r="P10" s="5"/>
      <c r="Q10" s="5"/>
    </row>
    <row r="11" spans="1:17" ht="54" x14ac:dyDescent="0.25">
      <c r="A11" s="296"/>
      <c r="B11" s="8"/>
      <c r="C11" s="299"/>
      <c r="D11" s="6"/>
      <c r="E11" s="8"/>
      <c r="F11" s="67">
        <v>1</v>
      </c>
      <c r="G11" s="68" t="s">
        <v>44</v>
      </c>
      <c r="H11" s="69" t="s">
        <v>45</v>
      </c>
      <c r="I11" s="70" t="s">
        <v>46</v>
      </c>
      <c r="J11" s="70" t="s">
        <v>47</v>
      </c>
      <c r="K11" s="70" t="s">
        <v>48</v>
      </c>
      <c r="L11" s="71" t="s">
        <v>49</v>
      </c>
      <c r="M11" s="68" t="s">
        <v>50</v>
      </c>
      <c r="N11" s="70" t="s">
        <v>46</v>
      </c>
      <c r="O11" s="70" t="s">
        <v>47</v>
      </c>
      <c r="P11" s="70" t="s">
        <v>48</v>
      </c>
      <c r="Q11" s="71" t="s">
        <v>51</v>
      </c>
    </row>
    <row r="12" spans="1:17" x14ac:dyDescent="0.25">
      <c r="A12" s="161">
        <v>1</v>
      </c>
      <c r="B12" s="72">
        <f>A12+1</f>
        <v>2</v>
      </c>
      <c r="C12" s="227">
        <f>B12+1</f>
        <v>3</v>
      </c>
      <c r="D12" s="72">
        <f>C12+1</f>
        <v>4</v>
      </c>
      <c r="E12" s="72">
        <f>D12+1</f>
        <v>5</v>
      </c>
      <c r="F12" s="74">
        <v>1</v>
      </c>
      <c r="G12" s="75">
        <f>E12+1</f>
        <v>6</v>
      </c>
      <c r="H12" s="76">
        <f t="shared" ref="H12:Q12" si="0">G12+1</f>
        <v>7</v>
      </c>
      <c r="I12" s="76">
        <f t="shared" si="0"/>
        <v>8</v>
      </c>
      <c r="J12" s="76">
        <f t="shared" si="0"/>
        <v>9</v>
      </c>
      <c r="K12" s="77">
        <f t="shared" si="0"/>
        <v>10</v>
      </c>
      <c r="L12" s="72">
        <f t="shared" si="0"/>
        <v>11</v>
      </c>
      <c r="M12" s="75">
        <f t="shared" si="0"/>
        <v>12</v>
      </c>
      <c r="N12" s="76">
        <f t="shared" si="0"/>
        <v>13</v>
      </c>
      <c r="O12" s="76">
        <f t="shared" si="0"/>
        <v>14</v>
      </c>
      <c r="P12" s="76">
        <f t="shared" si="0"/>
        <v>15</v>
      </c>
      <c r="Q12" s="77">
        <f t="shared" si="0"/>
        <v>16</v>
      </c>
    </row>
    <row r="13" spans="1:17" x14ac:dyDescent="0.25">
      <c r="A13" s="33" t="str">
        <f>IF(COUNTBLANK(B13)=1," ",COUNTA($B$13:B13))</f>
        <v xml:space="preserve"> </v>
      </c>
      <c r="B13" s="228"/>
      <c r="C13" s="229" t="s">
        <v>353</v>
      </c>
      <c r="D13" s="228"/>
      <c r="E13" s="228"/>
      <c r="F13" s="230"/>
      <c r="G13" s="228"/>
      <c r="H13" s="228"/>
      <c r="I13" s="228"/>
      <c r="J13" s="228"/>
      <c r="K13" s="228"/>
      <c r="L13" s="228"/>
      <c r="M13" s="228"/>
      <c r="N13" s="228"/>
      <c r="O13" s="228"/>
      <c r="P13" s="228"/>
      <c r="Q13" s="228"/>
    </row>
    <row r="14" spans="1:17" x14ac:dyDescent="0.25">
      <c r="A14" s="33" t="str">
        <f>IF(COUNTBLANK(B14)=1," ",COUNTA($B$13:B14))</f>
        <v xml:space="preserve"> </v>
      </c>
      <c r="B14" s="83"/>
      <c r="C14" s="84" t="s">
        <v>354</v>
      </c>
      <c r="D14" s="84"/>
      <c r="E14" s="84"/>
      <c r="F14" s="83"/>
      <c r="G14" s="83"/>
      <c r="H14" s="83"/>
      <c r="I14" s="83"/>
      <c r="J14" s="83"/>
      <c r="K14" s="83"/>
      <c r="L14" s="83"/>
      <c r="M14" s="83"/>
      <c r="N14" s="83"/>
      <c r="O14" s="83"/>
      <c r="P14" s="83"/>
      <c r="Q14" s="83"/>
    </row>
    <row r="15" spans="1:17" ht="22.5" x14ac:dyDescent="0.25">
      <c r="A15" s="33">
        <f>IF(COUNTBLANK(B15)=1," ",COUNTA($B$13:B15))</f>
        <v>1</v>
      </c>
      <c r="B15" s="78" t="s">
        <v>52</v>
      </c>
      <c r="C15" s="84" t="s">
        <v>355</v>
      </c>
      <c r="D15" s="231" t="s">
        <v>60</v>
      </c>
      <c r="E15" s="93">
        <v>12</v>
      </c>
      <c r="F15" s="85"/>
      <c r="G15" s="80"/>
      <c r="H15" s="80"/>
      <c r="I15" s="80"/>
      <c r="J15" s="80"/>
      <c r="K15" s="80"/>
      <c r="L15" s="80"/>
      <c r="M15" s="80"/>
      <c r="N15" s="80"/>
      <c r="O15" s="80"/>
      <c r="P15" s="80"/>
      <c r="Q15" s="80"/>
    </row>
    <row r="16" spans="1:17" ht="22.5" x14ac:dyDescent="0.25">
      <c r="A16" s="33">
        <f>IF(COUNTBLANK(B16)=1," ",COUNTA($B$13:B16))</f>
        <v>2</v>
      </c>
      <c r="B16" s="78" t="s">
        <v>52</v>
      </c>
      <c r="C16" s="84" t="s">
        <v>356</v>
      </c>
      <c r="D16" s="85" t="s">
        <v>99</v>
      </c>
      <c r="E16" s="85">
        <f>E15*0.03</f>
        <v>0.36</v>
      </c>
      <c r="F16" s="33"/>
      <c r="G16" s="80"/>
      <c r="H16" s="80"/>
      <c r="I16" s="80"/>
      <c r="J16" s="87"/>
      <c r="K16" s="80"/>
      <c r="L16" s="80"/>
      <c r="M16" s="80"/>
      <c r="N16" s="80"/>
      <c r="O16" s="80"/>
      <c r="P16" s="80"/>
      <c r="Q16" s="80"/>
    </row>
    <row r="17" spans="1:17" x14ac:dyDescent="0.25">
      <c r="A17" s="33" t="str">
        <f>IF(COUNTBLANK(B17)=1," ",COUNTA($B$13:B17))</f>
        <v xml:space="preserve"> </v>
      </c>
      <c r="B17" s="78"/>
      <c r="C17" s="84" t="s">
        <v>357</v>
      </c>
      <c r="D17" s="33" t="s">
        <v>99</v>
      </c>
      <c r="E17" s="80">
        <f>E16*F17</f>
        <v>0.378</v>
      </c>
      <c r="F17" s="33">
        <v>1.05</v>
      </c>
      <c r="G17" s="80"/>
      <c r="H17" s="80"/>
      <c r="I17" s="80"/>
      <c r="J17" s="87"/>
      <c r="K17" s="80"/>
      <c r="L17" s="80"/>
      <c r="M17" s="80"/>
      <c r="N17" s="80"/>
      <c r="O17" s="80"/>
      <c r="P17" s="80"/>
      <c r="Q17" s="80"/>
    </row>
    <row r="18" spans="1:17" x14ac:dyDescent="0.25">
      <c r="A18" s="33" t="str">
        <f>IF(COUNTBLANK(B18)=1," ",COUNTA($B$13:B18))</f>
        <v xml:space="preserve"> </v>
      </c>
      <c r="B18" s="78"/>
      <c r="C18" s="232" t="s">
        <v>358</v>
      </c>
      <c r="D18" s="33"/>
      <c r="E18" s="33"/>
      <c r="F18" s="233"/>
      <c r="G18" s="80"/>
      <c r="H18" s="80"/>
      <c r="I18" s="87"/>
      <c r="J18" s="226"/>
      <c r="K18" s="198"/>
      <c r="L18" s="80"/>
      <c r="M18" s="80"/>
      <c r="N18" s="80"/>
      <c r="O18" s="80"/>
      <c r="P18" s="80"/>
      <c r="Q18" s="80"/>
    </row>
    <row r="19" spans="1:17" x14ac:dyDescent="0.25">
      <c r="A19" s="33">
        <f>IF(COUNTBLANK(B19)=1," ",COUNTA($B$13:B19))</f>
        <v>3</v>
      </c>
      <c r="B19" s="78" t="s">
        <v>52</v>
      </c>
      <c r="C19" s="234" t="s">
        <v>359</v>
      </c>
      <c r="D19" s="85" t="s">
        <v>99</v>
      </c>
      <c r="E19" s="93">
        <f>E15*0.03</f>
        <v>0.36</v>
      </c>
      <c r="F19" s="198"/>
      <c r="G19" s="80"/>
      <c r="H19" s="80"/>
      <c r="I19" s="80"/>
      <c r="J19" s="80"/>
      <c r="K19" s="80"/>
      <c r="L19" s="80"/>
      <c r="M19" s="80"/>
      <c r="N19" s="80"/>
      <c r="O19" s="80"/>
      <c r="P19" s="80"/>
      <c r="Q19" s="80"/>
    </row>
    <row r="20" spans="1:17" ht="41.85" customHeight="1" x14ac:dyDescent="0.25">
      <c r="A20" s="33">
        <f>IF(COUNTBLANK(B20)=1," ",COUNTA($B$13:B20))</f>
        <v>4</v>
      </c>
      <c r="B20" s="78" t="s">
        <v>52</v>
      </c>
      <c r="C20" s="84" t="s">
        <v>360</v>
      </c>
      <c r="D20" s="85" t="s">
        <v>99</v>
      </c>
      <c r="E20" s="85">
        <f>E16</f>
        <v>0.36</v>
      </c>
      <c r="F20" s="33"/>
      <c r="G20" s="80"/>
      <c r="H20" s="80"/>
      <c r="I20" s="80"/>
      <c r="J20" s="87"/>
      <c r="K20" s="80"/>
      <c r="L20" s="80"/>
      <c r="M20" s="80"/>
      <c r="N20" s="80"/>
      <c r="O20" s="80"/>
      <c r="P20" s="80"/>
      <c r="Q20" s="80"/>
    </row>
    <row r="21" spans="1:17" x14ac:dyDescent="0.25">
      <c r="A21" s="33" t="str">
        <f>IF(COUNTBLANK(B21)=1," ",COUNTA($B$13:B21))</f>
        <v xml:space="preserve"> </v>
      </c>
      <c r="B21" s="78"/>
      <c r="C21" s="84" t="s">
        <v>357</v>
      </c>
      <c r="D21" s="33" t="s">
        <v>99</v>
      </c>
      <c r="E21" s="80">
        <f>E20*F21</f>
        <v>0.378</v>
      </c>
      <c r="F21" s="33">
        <v>1.05</v>
      </c>
      <c r="G21" s="80"/>
      <c r="H21" s="80"/>
      <c r="I21" s="80"/>
      <c r="J21" s="87"/>
      <c r="K21" s="80"/>
      <c r="L21" s="80"/>
      <c r="M21" s="80"/>
      <c r="N21" s="80"/>
      <c r="O21" s="80"/>
      <c r="P21" s="80"/>
      <c r="Q21" s="80"/>
    </row>
    <row r="22" spans="1:17" x14ac:dyDescent="0.25">
      <c r="A22" s="33">
        <f>IF(COUNTBLANK(B22)=1," ",COUNTA($B$13:B22))</f>
        <v>5</v>
      </c>
      <c r="B22" s="78" t="s">
        <v>52</v>
      </c>
      <c r="C22" s="234" t="s">
        <v>361</v>
      </c>
      <c r="D22" s="231" t="s">
        <v>60</v>
      </c>
      <c r="E22" s="85">
        <v>14.55</v>
      </c>
      <c r="F22" s="83"/>
      <c r="G22" s="80"/>
      <c r="H22" s="80"/>
      <c r="I22" s="80"/>
      <c r="J22" s="80"/>
      <c r="K22" s="80"/>
      <c r="L22" s="80"/>
      <c r="M22" s="80"/>
      <c r="N22" s="80"/>
      <c r="O22" s="80"/>
      <c r="P22" s="80"/>
      <c r="Q22" s="80"/>
    </row>
    <row r="23" spans="1:17" x14ac:dyDescent="0.25">
      <c r="A23" s="33" t="str">
        <f>IF(COUNTBLANK(B23)=1," ",COUNTA($B$13:B23))</f>
        <v xml:space="preserve"> </v>
      </c>
      <c r="B23" s="83"/>
      <c r="C23" s="235" t="s">
        <v>362</v>
      </c>
      <c r="D23" s="236"/>
      <c r="E23" s="236"/>
      <c r="F23" s="83"/>
      <c r="G23" s="83"/>
      <c r="H23" s="83"/>
      <c r="I23" s="83"/>
      <c r="J23" s="83"/>
      <c r="K23" s="83"/>
      <c r="L23" s="83"/>
      <c r="M23" s="83"/>
      <c r="N23" s="83"/>
      <c r="O23" s="83"/>
      <c r="P23" s="83"/>
      <c r="Q23" s="83"/>
    </row>
    <row r="24" spans="1:17" x14ac:dyDescent="0.25">
      <c r="A24" s="33">
        <f>IF(COUNTBLANK(B24)=1," ",COUNTA($B$13:B24))</f>
        <v>6</v>
      </c>
      <c r="B24" s="237" t="s">
        <v>52</v>
      </c>
      <c r="C24" s="84" t="s">
        <v>363</v>
      </c>
      <c r="D24" s="85" t="s">
        <v>99</v>
      </c>
      <c r="E24" s="93">
        <f>4*1.3*1.5*2</f>
        <v>15.600000000000001</v>
      </c>
      <c r="F24" s="83"/>
      <c r="G24" s="80"/>
      <c r="H24" s="238"/>
      <c r="I24" s="80"/>
      <c r="J24" s="80"/>
      <c r="K24" s="80"/>
      <c r="L24" s="238"/>
      <c r="M24" s="238"/>
      <c r="N24" s="238"/>
      <c r="O24" s="238"/>
      <c r="P24" s="238"/>
      <c r="Q24" s="238"/>
    </row>
    <row r="25" spans="1:17" x14ac:dyDescent="0.25">
      <c r="A25" s="33">
        <f>IF(COUNTBLANK(B25)=1," ",COUNTA($B$13:B25))</f>
        <v>7</v>
      </c>
      <c r="B25" s="237" t="s">
        <v>52</v>
      </c>
      <c r="C25" s="84" t="s">
        <v>364</v>
      </c>
      <c r="D25" s="85" t="s">
        <v>99</v>
      </c>
      <c r="E25" s="93">
        <f>E24</f>
        <v>15.600000000000001</v>
      </c>
      <c r="F25" s="83"/>
      <c r="G25" s="80"/>
      <c r="H25" s="80"/>
      <c r="I25" s="80"/>
      <c r="J25" s="80"/>
      <c r="K25" s="80"/>
      <c r="L25" s="238"/>
      <c r="M25" s="238"/>
      <c r="N25" s="238"/>
      <c r="O25" s="238"/>
      <c r="P25" s="238"/>
      <c r="Q25" s="238"/>
    </row>
    <row r="26" spans="1:17" x14ac:dyDescent="0.25">
      <c r="A26" s="33">
        <f>IF(COUNTBLANK(B26)=1," ",COUNTA($B$13:B26))</f>
        <v>8</v>
      </c>
      <c r="B26" s="237" t="s">
        <v>52</v>
      </c>
      <c r="C26" s="84" t="s">
        <v>365</v>
      </c>
      <c r="D26" s="85" t="s">
        <v>60</v>
      </c>
      <c r="E26" s="93">
        <f>0.9*3*2</f>
        <v>5.4</v>
      </c>
      <c r="F26" s="83"/>
      <c r="G26" s="238"/>
      <c r="H26" s="80"/>
      <c r="I26" s="80"/>
      <c r="J26" s="238"/>
      <c r="K26" s="238"/>
      <c r="L26" s="238"/>
      <c r="M26" s="238"/>
      <c r="N26" s="238"/>
      <c r="O26" s="238"/>
      <c r="P26" s="238"/>
      <c r="Q26" s="238"/>
    </row>
    <row r="27" spans="1:17" ht="22.5" x14ac:dyDescent="0.25">
      <c r="A27" s="33">
        <f>IF(COUNTBLANK(B27)=1," ",COUNTA($B$13:B27))</f>
        <v>9</v>
      </c>
      <c r="B27" s="237" t="s">
        <v>52</v>
      </c>
      <c r="C27" s="84" t="s">
        <v>366</v>
      </c>
      <c r="D27" s="85" t="s">
        <v>99</v>
      </c>
      <c r="E27" s="93">
        <f>E26*0.3</f>
        <v>1.62</v>
      </c>
      <c r="F27" s="239"/>
      <c r="G27" s="238"/>
      <c r="H27" s="80"/>
      <c r="I27" s="238"/>
      <c r="J27" s="238"/>
      <c r="K27" s="238"/>
      <c r="L27" s="238"/>
      <c r="M27" s="238"/>
      <c r="N27" s="238"/>
      <c r="O27" s="238"/>
      <c r="P27" s="238"/>
      <c r="Q27" s="238"/>
    </row>
    <row r="28" spans="1:17" x14ac:dyDescent="0.25">
      <c r="A28" s="33" t="str">
        <f>IF(COUNTBLANK(B28)=1," ",COUNTA($B$13:B28))</f>
        <v xml:space="preserve"> </v>
      </c>
      <c r="B28" s="240"/>
      <c r="C28" s="241" t="s">
        <v>367</v>
      </c>
      <c r="D28" s="94" t="s">
        <v>99</v>
      </c>
      <c r="E28" s="80">
        <f>ROUNDUP(E27*F28,2)</f>
        <v>1.79</v>
      </c>
      <c r="F28" s="238">
        <v>1.1000000000000001</v>
      </c>
      <c r="G28" s="238"/>
      <c r="H28" s="238"/>
      <c r="I28" s="238"/>
      <c r="J28" s="238"/>
      <c r="K28" s="238"/>
      <c r="L28" s="238"/>
      <c r="M28" s="238"/>
      <c r="N28" s="238"/>
      <c r="O28" s="238"/>
      <c r="P28" s="238"/>
      <c r="Q28" s="238"/>
    </row>
    <row r="29" spans="1:17" x14ac:dyDescent="0.25">
      <c r="A29" s="33">
        <f>IF(COUNTBLANK(B29)=1," ",COUNTA($B$13:B29))</f>
        <v>10</v>
      </c>
      <c r="B29" s="237" t="s">
        <v>52</v>
      </c>
      <c r="C29" s="84" t="s">
        <v>368</v>
      </c>
      <c r="D29" s="85" t="s">
        <v>99</v>
      </c>
      <c r="E29" s="93">
        <f>E24</f>
        <v>15.600000000000001</v>
      </c>
      <c r="F29" s="80"/>
      <c r="G29" s="80"/>
      <c r="H29" s="80"/>
      <c r="I29" s="80"/>
      <c r="J29" s="80"/>
      <c r="K29" s="80"/>
      <c r="L29" s="238"/>
      <c r="M29" s="238"/>
      <c r="N29" s="238"/>
      <c r="O29" s="238"/>
      <c r="P29" s="238"/>
      <c r="Q29" s="238"/>
    </row>
    <row r="30" spans="1:17" x14ac:dyDescent="0.25">
      <c r="A30" s="33" t="str">
        <f>IF(COUNTBLANK(B30)=1," ",COUNTA($B$13:B30))</f>
        <v xml:space="preserve"> </v>
      </c>
      <c r="B30" s="33"/>
      <c r="C30" s="34" t="s">
        <v>357</v>
      </c>
      <c r="D30" s="242" t="s">
        <v>99</v>
      </c>
      <c r="E30" s="80">
        <f>ROUNDUP(E29*F30,2)</f>
        <v>16.38</v>
      </c>
      <c r="F30" s="80">
        <v>1.05</v>
      </c>
      <c r="G30" s="80"/>
      <c r="H30" s="80"/>
      <c r="I30" s="80"/>
      <c r="J30" s="80"/>
      <c r="K30" s="80"/>
      <c r="L30" s="238"/>
      <c r="M30" s="238"/>
      <c r="N30" s="238"/>
      <c r="O30" s="238"/>
      <c r="P30" s="238"/>
      <c r="Q30" s="238"/>
    </row>
    <row r="31" spans="1:17" x14ac:dyDescent="0.25">
      <c r="A31" s="33">
        <f>IF(COUNTBLANK(B31)=1," ",COUNTA($B$13:B31))</f>
        <v>11</v>
      </c>
      <c r="B31" s="237" t="s">
        <v>52</v>
      </c>
      <c r="C31" s="241" t="s">
        <v>369</v>
      </c>
      <c r="D31" s="242" t="s">
        <v>60</v>
      </c>
      <c r="E31" s="238">
        <f>3.2*2</f>
        <v>6.4</v>
      </c>
      <c r="F31" s="243"/>
      <c r="G31" s="80"/>
      <c r="H31" s="80"/>
      <c r="I31" s="80"/>
      <c r="J31" s="80"/>
      <c r="K31" s="80"/>
      <c r="L31" s="238"/>
      <c r="M31" s="238"/>
      <c r="N31" s="238"/>
      <c r="O31" s="238"/>
      <c r="P31" s="238"/>
      <c r="Q31" s="238"/>
    </row>
    <row r="32" spans="1:17" ht="22.5" x14ac:dyDescent="0.25">
      <c r="A32" s="33">
        <f>IF(COUNTBLANK(B32)=1," ",COUNTA($B$13:B32))</f>
        <v>12</v>
      </c>
      <c r="B32" s="237" t="s">
        <v>52</v>
      </c>
      <c r="C32" s="84" t="s">
        <v>370</v>
      </c>
      <c r="D32" s="85" t="s">
        <v>99</v>
      </c>
      <c r="E32" s="93">
        <f>0.3*3*3*2</f>
        <v>5.3999999999999995</v>
      </c>
      <c r="F32" s="80"/>
      <c r="G32" s="80"/>
      <c r="H32" s="80"/>
      <c r="I32" s="80"/>
      <c r="J32" s="80"/>
      <c r="K32" s="80"/>
      <c r="L32" s="238"/>
      <c r="M32" s="238"/>
      <c r="N32" s="238"/>
      <c r="O32" s="238"/>
      <c r="P32" s="238"/>
      <c r="Q32" s="238"/>
    </row>
    <row r="33" spans="1:17" x14ac:dyDescent="0.25">
      <c r="A33" s="33" t="str">
        <f>IF(COUNTBLANK(B33)=1," ",COUNTA($B$13:B33))</f>
        <v xml:space="preserve"> </v>
      </c>
      <c r="B33" s="33"/>
      <c r="C33" s="34" t="s">
        <v>357</v>
      </c>
      <c r="D33" s="242" t="s">
        <v>99</v>
      </c>
      <c r="E33" s="80">
        <f>ROUNDUP(E32*F33,2)</f>
        <v>5.67</v>
      </c>
      <c r="F33" s="80">
        <v>1.05</v>
      </c>
      <c r="G33" s="80"/>
      <c r="H33" s="80"/>
      <c r="I33" s="80"/>
      <c r="J33" s="80"/>
      <c r="K33" s="80"/>
      <c r="L33" s="238"/>
      <c r="M33" s="238"/>
      <c r="N33" s="238"/>
      <c r="O33" s="238"/>
      <c r="P33" s="238"/>
      <c r="Q33" s="238"/>
    </row>
    <row r="34" spans="1:17" x14ac:dyDescent="0.25">
      <c r="A34" s="33">
        <f>IF(COUNTBLANK(B34)=1," ",COUNTA($B$13:B34))</f>
        <v>13</v>
      </c>
      <c r="B34" s="237" t="s">
        <v>52</v>
      </c>
      <c r="C34" s="241" t="s">
        <v>371</v>
      </c>
      <c r="D34" s="242" t="s">
        <v>60</v>
      </c>
      <c r="E34" s="238">
        <f>E31</f>
        <v>6.4</v>
      </c>
      <c r="F34" s="243"/>
      <c r="G34" s="80"/>
      <c r="H34" s="80"/>
      <c r="I34" s="80"/>
      <c r="J34" s="80"/>
      <c r="K34" s="80"/>
      <c r="L34" s="238"/>
      <c r="M34" s="238"/>
      <c r="N34" s="238"/>
      <c r="O34" s="238"/>
      <c r="P34" s="238"/>
      <c r="Q34" s="238"/>
    </row>
    <row r="35" spans="1:17" x14ac:dyDescent="0.25">
      <c r="A35" s="33" t="str">
        <f>IF(COUNTBLANK(B35)=1," ",COUNTA($B$13:B35))</f>
        <v xml:space="preserve"> </v>
      </c>
      <c r="B35" s="237"/>
      <c r="C35" s="241" t="s">
        <v>372</v>
      </c>
      <c r="D35" s="242" t="s">
        <v>373</v>
      </c>
      <c r="E35" s="238">
        <v>8</v>
      </c>
      <c r="F35" s="243"/>
      <c r="G35" s="80"/>
      <c r="H35" s="80"/>
      <c r="I35" s="80"/>
      <c r="J35" s="80"/>
      <c r="K35" s="80"/>
      <c r="L35" s="238"/>
      <c r="M35" s="238"/>
      <c r="N35" s="238"/>
      <c r="O35" s="238"/>
      <c r="P35" s="238"/>
      <c r="Q35" s="238"/>
    </row>
    <row r="36" spans="1:17" x14ac:dyDescent="0.25">
      <c r="A36" s="33">
        <f>IF(COUNTBLANK(B36)=1," ",COUNTA($B$13:B36))</f>
        <v>14</v>
      </c>
      <c r="B36" s="237" t="s">
        <v>52</v>
      </c>
      <c r="C36" s="241" t="s">
        <v>374</v>
      </c>
      <c r="D36" s="242" t="s">
        <v>373</v>
      </c>
      <c r="E36" s="238">
        <v>4</v>
      </c>
      <c r="F36" s="243"/>
      <c r="G36" s="80"/>
      <c r="H36" s="80"/>
      <c r="I36" s="80"/>
      <c r="J36" s="80"/>
      <c r="K36" s="80"/>
      <c r="L36" s="238"/>
      <c r="M36" s="238"/>
      <c r="N36" s="238"/>
      <c r="O36" s="238"/>
      <c r="P36" s="238"/>
      <c r="Q36" s="238"/>
    </row>
    <row r="37" spans="1:17" x14ac:dyDescent="0.25">
      <c r="A37" s="33">
        <f>IF(COUNTBLANK(B37)=1," ",COUNTA($B$13:B37))</f>
        <v>15</v>
      </c>
      <c r="B37" s="237" t="s">
        <v>52</v>
      </c>
      <c r="C37" s="241" t="s">
        <v>375</v>
      </c>
      <c r="D37" s="242" t="s">
        <v>56</v>
      </c>
      <c r="E37" s="238">
        <f>6*2*4</f>
        <v>48</v>
      </c>
      <c r="F37" s="243"/>
      <c r="G37" s="80"/>
      <c r="H37" s="80"/>
      <c r="I37" s="80"/>
      <c r="J37" s="80"/>
      <c r="K37" s="80"/>
      <c r="L37" s="238"/>
      <c r="M37" s="238"/>
      <c r="N37" s="238"/>
      <c r="O37" s="238"/>
      <c r="P37" s="238"/>
      <c r="Q37" s="238"/>
    </row>
    <row r="38" spans="1:17" x14ac:dyDescent="0.25">
      <c r="A38" s="33" t="str">
        <f>IF(COUNTBLANK(B38)=1," ",COUNTA(B$14:B38))</f>
        <v xml:space="preserve"> </v>
      </c>
      <c r="B38" s="33"/>
      <c r="C38" s="189" t="s">
        <v>376</v>
      </c>
      <c r="D38" s="189"/>
      <c r="E38" s="189"/>
      <c r="F38" s="33"/>
      <c r="G38" s="33"/>
      <c r="H38" s="33"/>
      <c r="I38" s="33"/>
      <c r="J38" s="33"/>
      <c r="K38" s="33"/>
      <c r="L38" s="80"/>
      <c r="M38" s="80"/>
      <c r="N38" s="80"/>
      <c r="O38" s="80"/>
      <c r="P38" s="80"/>
      <c r="Q38" s="80"/>
    </row>
    <row r="39" spans="1:17" x14ac:dyDescent="0.25">
      <c r="A39" s="33">
        <f>IF(COUNTBLANK(B39)=1," ",COUNTA(B$14:B39))</f>
        <v>16</v>
      </c>
      <c r="B39" s="78" t="s">
        <v>52</v>
      </c>
      <c r="C39" s="36" t="s">
        <v>254</v>
      </c>
      <c r="D39" s="33" t="s">
        <v>60</v>
      </c>
      <c r="E39" s="79">
        <v>24</v>
      </c>
      <c r="F39" s="33"/>
      <c r="G39" s="80"/>
      <c r="H39" s="80"/>
      <c r="I39" s="87"/>
      <c r="J39" s="87"/>
      <c r="K39" s="80"/>
      <c r="L39" s="80"/>
      <c r="M39" s="80"/>
      <c r="N39" s="80"/>
      <c r="O39" s="80"/>
      <c r="P39" s="80"/>
      <c r="Q39" s="80"/>
    </row>
    <row r="40" spans="1:17" ht="14.25" customHeight="1" x14ac:dyDescent="0.25">
      <c r="A40" s="33">
        <f>IF(COUNTBLANK(B40)=1," ",COUNTA(B$14:B40))</f>
        <v>17</v>
      </c>
      <c r="B40" s="78" t="s">
        <v>52</v>
      </c>
      <c r="C40" s="36" t="s">
        <v>255</v>
      </c>
      <c r="D40" s="33" t="s">
        <v>99</v>
      </c>
      <c r="E40" s="79">
        <f>E39*0.1</f>
        <v>2.4000000000000004</v>
      </c>
      <c r="F40" s="190"/>
      <c r="G40" s="80"/>
      <c r="H40" s="80"/>
      <c r="I40" s="80"/>
      <c r="J40" s="80"/>
      <c r="K40" s="80"/>
      <c r="L40" s="80"/>
      <c r="M40" s="80"/>
      <c r="N40" s="80"/>
      <c r="O40" s="80"/>
      <c r="P40" s="80"/>
      <c r="Q40" s="80"/>
    </row>
    <row r="41" spans="1:17" x14ac:dyDescent="0.25">
      <c r="A41" s="33" t="str">
        <f>IF(COUNTBLANK(B41)=1," ",COUNTA(B$14:B41))</f>
        <v xml:space="preserve"> </v>
      </c>
      <c r="B41" s="33"/>
      <c r="C41" s="36" t="s">
        <v>256</v>
      </c>
      <c r="D41" s="33" t="s">
        <v>257</v>
      </c>
      <c r="E41" s="80">
        <f>E40*F41</f>
        <v>2.6400000000000006</v>
      </c>
      <c r="F41" s="80">
        <v>1.1000000000000001</v>
      </c>
      <c r="G41" s="80"/>
      <c r="H41" s="80"/>
      <c r="I41" s="80"/>
      <c r="J41" s="80"/>
      <c r="K41" s="80"/>
      <c r="L41" s="80"/>
      <c r="M41" s="80"/>
      <c r="N41" s="80"/>
      <c r="O41" s="80"/>
      <c r="P41" s="80"/>
      <c r="Q41" s="80"/>
    </row>
    <row r="42" spans="1:17" x14ac:dyDescent="0.25">
      <c r="A42" s="33">
        <f>IF(COUNTBLANK(B42)=1," ",COUNTA(B$14:B42))</f>
        <v>18</v>
      </c>
      <c r="B42" s="78" t="s">
        <v>52</v>
      </c>
      <c r="C42" s="36" t="s">
        <v>259</v>
      </c>
      <c r="D42" s="33" t="s">
        <v>99</v>
      </c>
      <c r="E42" s="79">
        <f>E39*0.05</f>
        <v>1.2000000000000002</v>
      </c>
      <c r="F42" s="190"/>
      <c r="G42" s="80"/>
      <c r="H42" s="80"/>
      <c r="I42" s="80"/>
      <c r="J42" s="80"/>
      <c r="K42" s="80"/>
      <c r="L42" s="80"/>
      <c r="M42" s="80"/>
      <c r="N42" s="80"/>
      <c r="O42" s="80"/>
      <c r="P42" s="80"/>
      <c r="Q42" s="80"/>
    </row>
    <row r="43" spans="1:17" x14ac:dyDescent="0.25">
      <c r="A43" s="33" t="str">
        <f>IF(COUNTBLANK(B43)=1," ",COUNTA(B$14:B43))</f>
        <v xml:space="preserve"> </v>
      </c>
      <c r="B43" s="33"/>
      <c r="C43" s="36" t="s">
        <v>256</v>
      </c>
      <c r="D43" s="33" t="s">
        <v>257</v>
      </c>
      <c r="E43" s="80">
        <f>E42*F43</f>
        <v>1.3200000000000003</v>
      </c>
      <c r="F43" s="80">
        <v>1.1000000000000001</v>
      </c>
      <c r="G43" s="80"/>
      <c r="H43" s="80"/>
      <c r="I43" s="80"/>
      <c r="J43" s="80"/>
      <c r="K43" s="80"/>
      <c r="L43" s="80"/>
      <c r="M43" s="80"/>
      <c r="N43" s="80"/>
      <c r="O43" s="80"/>
      <c r="P43" s="80"/>
      <c r="Q43" s="80"/>
    </row>
    <row r="44" spans="1:17" x14ac:dyDescent="0.25">
      <c r="A44" s="33">
        <f>IF(COUNTBLANK(B44)=1," ",COUNTA(B$14:B44))</f>
        <v>19</v>
      </c>
      <c r="B44" s="78" t="s">
        <v>52</v>
      </c>
      <c r="C44" s="36" t="s">
        <v>260</v>
      </c>
      <c r="D44" s="33" t="s">
        <v>99</v>
      </c>
      <c r="E44" s="79">
        <f>E42</f>
        <v>1.2000000000000002</v>
      </c>
      <c r="F44" s="190"/>
      <c r="G44" s="80"/>
      <c r="H44" s="80"/>
      <c r="I44" s="80"/>
      <c r="J44" s="80"/>
      <c r="K44" s="80"/>
      <c r="L44" s="80"/>
      <c r="M44" s="80"/>
      <c r="N44" s="80"/>
      <c r="O44" s="80"/>
      <c r="P44" s="80"/>
      <c r="Q44" s="80"/>
    </row>
    <row r="45" spans="1:17" x14ac:dyDescent="0.25">
      <c r="A45" s="33" t="str">
        <f>IF(COUNTBLANK(B45)=1," ",COUNTA(B$14:B45))</f>
        <v xml:space="preserve"> </v>
      </c>
      <c r="B45" s="33"/>
      <c r="C45" s="36" t="s">
        <v>261</v>
      </c>
      <c r="D45" s="33" t="s">
        <v>257</v>
      </c>
      <c r="E45" s="80">
        <f>E44*F45</f>
        <v>1.3200000000000003</v>
      </c>
      <c r="F45" s="80">
        <v>1.1000000000000001</v>
      </c>
      <c r="G45" s="80"/>
      <c r="H45" s="80"/>
      <c r="I45" s="80"/>
      <c r="J45" s="80"/>
      <c r="K45" s="80"/>
      <c r="L45" s="80"/>
      <c r="M45" s="80"/>
      <c r="N45" s="80"/>
      <c r="O45" s="80"/>
      <c r="P45" s="80"/>
      <c r="Q45" s="80"/>
    </row>
    <row r="46" spans="1:17" x14ac:dyDescent="0.25">
      <c r="A46" s="33">
        <f>IF(COUNTBLANK(B46)=1," ",COUNTA(B$14:B46))</f>
        <v>20</v>
      </c>
      <c r="B46" s="78" t="s">
        <v>52</v>
      </c>
      <c r="C46" s="36" t="s">
        <v>377</v>
      </c>
      <c r="D46" s="33" t="s">
        <v>60</v>
      </c>
      <c r="E46" s="79">
        <f>E39</f>
        <v>24</v>
      </c>
      <c r="F46" s="80"/>
      <c r="G46" s="80"/>
      <c r="H46" s="80"/>
      <c r="I46" s="80"/>
      <c r="J46" s="87"/>
      <c r="K46" s="80"/>
      <c r="L46" s="80"/>
      <c r="M46" s="80"/>
      <c r="N46" s="80"/>
      <c r="O46" s="80"/>
      <c r="P46" s="80"/>
      <c r="Q46" s="80"/>
    </row>
    <row r="47" spans="1:17" x14ac:dyDescent="0.25">
      <c r="A47" s="33" t="str">
        <f>IF(COUNTBLANK(B47)=1," ",COUNTA(B$14:B47))</f>
        <v xml:space="preserve"> </v>
      </c>
      <c r="B47" s="33"/>
      <c r="C47" s="36" t="s">
        <v>263</v>
      </c>
      <c r="D47" s="80" t="s">
        <v>60</v>
      </c>
      <c r="E47" s="80">
        <f>E46*F47</f>
        <v>25.200000000000003</v>
      </c>
      <c r="F47" s="80">
        <v>1.05</v>
      </c>
      <c r="G47" s="80"/>
      <c r="H47" s="80"/>
      <c r="I47" s="80"/>
      <c r="J47" s="80"/>
      <c r="K47" s="80"/>
      <c r="L47" s="80"/>
      <c r="M47" s="80"/>
      <c r="N47" s="80"/>
      <c r="O47" s="80"/>
      <c r="P47" s="80"/>
      <c r="Q47" s="80"/>
    </row>
    <row r="48" spans="1:17" x14ac:dyDescent="0.25">
      <c r="A48" s="33" t="str">
        <f>IF(COUNTBLANK(B48)=1," ",COUNTA(B$14:B48))</f>
        <v xml:space="preserve"> </v>
      </c>
      <c r="B48" s="33"/>
      <c r="C48" s="36" t="s">
        <v>264</v>
      </c>
      <c r="D48" s="80" t="s">
        <v>99</v>
      </c>
      <c r="E48" s="80">
        <f>E46*F48</f>
        <v>1.6800000000000002</v>
      </c>
      <c r="F48" s="80">
        <v>7.0000000000000007E-2</v>
      </c>
      <c r="G48" s="80"/>
      <c r="H48" s="80"/>
      <c r="I48" s="80"/>
      <c r="J48" s="80"/>
      <c r="K48" s="80"/>
      <c r="L48" s="80"/>
      <c r="M48" s="80"/>
      <c r="N48" s="80"/>
      <c r="O48" s="80"/>
      <c r="P48" s="80"/>
      <c r="Q48" s="80"/>
    </row>
    <row r="49" spans="1:17" x14ac:dyDescent="0.25">
      <c r="A49" s="33">
        <f>IF(COUNTBLANK(B49)=1," ",COUNTA(B$14:B49))</f>
        <v>21</v>
      </c>
      <c r="B49" s="78" t="s">
        <v>52</v>
      </c>
      <c r="C49" s="36" t="s">
        <v>378</v>
      </c>
      <c r="D49" s="80" t="s">
        <v>99</v>
      </c>
      <c r="E49" s="79">
        <f>E50*0.3*0.1</f>
        <v>0.48</v>
      </c>
      <c r="F49" s="33"/>
      <c r="G49" s="80"/>
      <c r="H49" s="80"/>
      <c r="I49" s="87"/>
      <c r="J49" s="87"/>
      <c r="K49" s="80"/>
      <c r="L49" s="80"/>
      <c r="M49" s="80"/>
      <c r="N49" s="80"/>
      <c r="O49" s="80"/>
      <c r="P49" s="80"/>
      <c r="Q49" s="80"/>
    </row>
    <row r="50" spans="1:17" x14ac:dyDescent="0.25">
      <c r="A50" s="33">
        <f>IF(COUNTBLANK(B50)=1," ",COUNTA(B$14:B50))</f>
        <v>22</v>
      </c>
      <c r="B50" s="78" t="s">
        <v>52</v>
      </c>
      <c r="C50" s="36" t="s">
        <v>265</v>
      </c>
      <c r="D50" s="33" t="s">
        <v>54</v>
      </c>
      <c r="E50" s="79">
        <v>16</v>
      </c>
      <c r="F50" s="33"/>
      <c r="G50" s="80"/>
      <c r="H50" s="80"/>
      <c r="I50" s="80"/>
      <c r="J50" s="80"/>
      <c r="K50" s="80"/>
      <c r="L50" s="80"/>
      <c r="M50" s="80"/>
      <c r="N50" s="80"/>
      <c r="O50" s="80"/>
      <c r="P50" s="80"/>
      <c r="Q50" s="80"/>
    </row>
    <row r="51" spans="1:17" x14ac:dyDescent="0.25">
      <c r="A51" s="37"/>
      <c r="B51" s="244"/>
      <c r="C51" s="245"/>
      <c r="D51" s="246"/>
      <c r="E51" s="247"/>
      <c r="F51" s="248"/>
      <c r="G51" s="100"/>
      <c r="H51" s="100"/>
      <c r="I51" s="100"/>
      <c r="J51" s="100"/>
      <c r="K51" s="100"/>
      <c r="L51" s="247"/>
      <c r="M51" s="247"/>
      <c r="N51" s="247"/>
      <c r="O51" s="247"/>
      <c r="P51" s="247"/>
      <c r="Q51" s="247"/>
    </row>
    <row r="52" spans="1:17" x14ac:dyDescent="0.25">
      <c r="A52" s="37"/>
      <c r="B52" s="37"/>
      <c r="C52" s="101" t="s">
        <v>101</v>
      </c>
      <c r="D52" s="37"/>
      <c r="E52" s="37"/>
      <c r="F52" s="37"/>
      <c r="G52" s="37"/>
      <c r="H52" s="37"/>
      <c r="I52" s="37"/>
      <c r="J52" s="37"/>
      <c r="K52" s="37"/>
      <c r="L52" s="100"/>
      <c r="M52" s="100">
        <f>SUM(M14:M51)</f>
        <v>0</v>
      </c>
      <c r="N52" s="100">
        <f>SUM(N14:N51)</f>
        <v>0</v>
      </c>
      <c r="O52" s="100">
        <f>SUM(O14:O51)</f>
        <v>0</v>
      </c>
      <c r="P52" s="100">
        <f>SUM(P14:P51)</f>
        <v>0</v>
      </c>
      <c r="Q52" s="100">
        <f>SUM(Q14:Q51)</f>
        <v>0</v>
      </c>
    </row>
    <row r="53" spans="1:17" x14ac:dyDescent="0.25">
      <c r="A53" s="37" t="str">
        <f>IF(COUNTBLANK(I53)=1," ",COUNTA($I$52:I53))</f>
        <v xml:space="preserve"> </v>
      </c>
      <c r="B53" s="37"/>
      <c r="C53" s="19" t="s">
        <v>102</v>
      </c>
      <c r="D53" s="38"/>
      <c r="E53" s="104"/>
      <c r="F53" s="37"/>
      <c r="G53" s="184">
        <v>0</v>
      </c>
      <c r="H53" s="37"/>
      <c r="I53" s="37"/>
      <c r="J53" s="37"/>
      <c r="K53" s="37"/>
      <c r="L53" s="37"/>
      <c r="M53" s="100"/>
      <c r="N53" s="100"/>
      <c r="O53" s="100">
        <f>O52*G53</f>
        <v>0</v>
      </c>
      <c r="P53" s="100"/>
      <c r="Q53" s="100"/>
    </row>
    <row r="54" spans="1:17" x14ac:dyDescent="0.25">
      <c r="A54" s="37" t="str">
        <f>IF(COUNTBLANK(I54)=1," ",COUNTA($I$52:I54))</f>
        <v xml:space="preserve"> </v>
      </c>
      <c r="B54" s="37"/>
      <c r="C54" s="101" t="s">
        <v>103</v>
      </c>
      <c r="D54" s="37"/>
      <c r="E54" s="37"/>
      <c r="F54" s="37"/>
      <c r="G54" s="37"/>
      <c r="H54" s="104"/>
      <c r="I54" s="37"/>
      <c r="J54" s="37"/>
      <c r="K54" s="37"/>
      <c r="L54" s="37"/>
      <c r="M54" s="100">
        <f>SUM(M52:M53)</f>
        <v>0</v>
      </c>
      <c r="N54" s="100">
        <f>SUM(N52:N53)</f>
        <v>0</v>
      </c>
      <c r="O54" s="100">
        <f>SUM(O52:O53)</f>
        <v>0</v>
      </c>
      <c r="P54" s="100">
        <f>SUM(P52:P53)</f>
        <v>0</v>
      </c>
      <c r="Q54" s="100">
        <f>SUM(N54:P54)</f>
        <v>0</v>
      </c>
    </row>
    <row r="55" spans="1:17" x14ac:dyDescent="0.25">
      <c r="B55" s="212"/>
      <c r="C55" s="48"/>
      <c r="D55" s="212"/>
      <c r="E55" s="212"/>
      <c r="F55" s="212"/>
      <c r="G55" s="212"/>
      <c r="H55" s="212"/>
      <c r="I55" s="212"/>
      <c r="J55" s="212"/>
      <c r="K55" s="212"/>
      <c r="L55" s="212"/>
      <c r="M55" s="212"/>
      <c r="N55" s="212"/>
      <c r="O55" s="212"/>
      <c r="P55" s="212"/>
      <c r="Q55" s="212"/>
    </row>
    <row r="56" spans="1:17" x14ac:dyDescent="0.25">
      <c r="B56" s="212"/>
      <c r="C56" s="53" t="s">
        <v>27</v>
      </c>
      <c r="D56" s="212"/>
      <c r="E56" s="212"/>
      <c r="F56" s="212"/>
      <c r="G56" s="212"/>
      <c r="H56" s="212"/>
      <c r="I56" s="212"/>
      <c r="J56" s="212"/>
      <c r="K56" s="212"/>
      <c r="L56" s="212"/>
      <c r="M56" s="212"/>
      <c r="N56" s="212"/>
      <c r="O56" s="212"/>
      <c r="P56" s="212"/>
      <c r="Q56" s="212"/>
    </row>
    <row r="57" spans="1:17" x14ac:dyDescent="0.25">
      <c r="B57" s="212"/>
      <c r="C57" s="54" t="s">
        <v>28</v>
      </c>
      <c r="D57" s="212"/>
      <c r="E57" s="212"/>
      <c r="F57" s="212"/>
      <c r="G57" s="212"/>
      <c r="H57" s="212"/>
      <c r="I57" s="212"/>
      <c r="J57" s="212"/>
      <c r="K57" s="212"/>
      <c r="L57" s="212"/>
      <c r="M57" s="212"/>
      <c r="N57" s="212"/>
      <c r="O57" s="212"/>
      <c r="P57" s="212"/>
      <c r="Q57" s="212"/>
    </row>
    <row r="58" spans="1:17" x14ac:dyDescent="0.25">
      <c r="C58" s="43"/>
    </row>
    <row r="59" spans="1:17" x14ac:dyDescent="0.25">
      <c r="C59" s="55" t="s">
        <v>29</v>
      </c>
    </row>
    <row r="60" spans="1:17" x14ac:dyDescent="0.25">
      <c r="C60" s="48" t="s">
        <v>30</v>
      </c>
    </row>
  </sheetData>
  <mergeCells count="11">
    <mergeCell ref="A1:G1"/>
    <mergeCell ref="A8:D8"/>
    <mergeCell ref="G8:J8"/>
    <mergeCell ref="N9:Q9"/>
    <mergeCell ref="A10:A11"/>
    <mergeCell ref="B10:B11"/>
    <mergeCell ref="C10:C11"/>
    <mergeCell ref="D10:D11"/>
    <mergeCell ref="E10:E11"/>
    <mergeCell ref="G10:L10"/>
    <mergeCell ref="M10:Q10"/>
  </mergeCells>
  <pageMargins left="0" right="0" top="0.78749999999999998" bottom="0.39374999999999999" header="0.51180555555555496" footer="0.51180555555555496"/>
  <pageSetup paperSize="0" scale="0" firstPageNumber="0" orientation="portrait" usePrinterDefaults="0" horizontalDpi="0" verticalDpi="0" copie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TotalTime>44</TotalTime>
  <Application>Microsoft Excel</Application>
  <DocSecurity>0</DocSecurity>
  <ScaleCrop>false</ScaleCrop>
  <HeadingPairs>
    <vt:vector size="4" baseType="variant">
      <vt:variant>
        <vt:lpstr>Darblapas</vt:lpstr>
      </vt:variant>
      <vt:variant>
        <vt:i4>13</vt:i4>
      </vt:variant>
      <vt:variant>
        <vt:lpstr>Diapazoni ar nosaukumiem</vt:lpstr>
      </vt:variant>
      <vt:variant>
        <vt:i4>21</vt:i4>
      </vt:variant>
    </vt:vector>
  </HeadingPairs>
  <TitlesOfParts>
    <vt:vector size="34" baseType="lpstr">
      <vt:lpstr>KPDV</vt:lpstr>
      <vt:lpstr>AR</vt:lpstr>
      <vt:lpstr>apjomi</vt:lpstr>
      <vt:lpstr>Logi</vt:lpstr>
      <vt:lpstr>pagrabs</vt:lpstr>
      <vt:lpstr>cokols</vt:lpstr>
      <vt:lpstr>BK</vt:lpstr>
      <vt:lpstr>jumts</vt:lpstr>
      <vt:lpstr>ieejas</vt:lpstr>
      <vt:lpstr>lodz</vt:lpstr>
      <vt:lpstr>AVK</vt:lpstr>
      <vt:lpstr>zibens</vt:lpstr>
      <vt:lpstr>GA</vt:lpstr>
      <vt:lpstr>AR!_FilterDatabase_0</vt:lpstr>
      <vt:lpstr>AR!_FiltraDatuBaze</vt:lpstr>
      <vt:lpstr>AR!Drukas_apgabals</vt:lpstr>
      <vt:lpstr>AVK!Drukas_apgabals</vt:lpstr>
      <vt:lpstr>BK!Drukas_apgabals</vt:lpstr>
      <vt:lpstr>cokols!Drukas_apgabals</vt:lpstr>
      <vt:lpstr>ieejas!Drukas_apgabals</vt:lpstr>
      <vt:lpstr>jumts!Drukas_apgabals</vt:lpstr>
      <vt:lpstr>KPDV!Drukas_apgabals</vt:lpstr>
      <vt:lpstr>pagrabs!Drukas_apgabals</vt:lpstr>
      <vt:lpstr>cokols!Excel_BuiltIn__FilterDatabase</vt:lpstr>
      <vt:lpstr>lodz!Excel_BuiltIn__FilterDatabase</vt:lpstr>
      <vt:lpstr>pagrabs!Excel_BuiltIn__FilterDatabase</vt:lpstr>
      <vt:lpstr>AR!Print_Area_0</vt:lpstr>
      <vt:lpstr>AVK!Print_Area_0</vt:lpstr>
      <vt:lpstr>BK!Print_Area_0</vt:lpstr>
      <vt:lpstr>cokols!Print_Area_0</vt:lpstr>
      <vt:lpstr>ieejas!Print_Area_0</vt:lpstr>
      <vt:lpstr>jumts!Print_Area_0</vt:lpstr>
      <vt:lpstr>KPDV!Print_Area_0</vt:lpstr>
      <vt:lpstr>pagrabs!Print_Area_0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Sandijs-I7</dc:creator>
  <cp:lastModifiedBy>Prezenta</cp:lastModifiedBy>
  <cp:revision>4</cp:revision>
  <cp:lastPrinted>2017-01-10T09:29:56Z</cp:lastPrinted>
  <dcterms:created xsi:type="dcterms:W3CDTF">2017-01-03T16:46:03Z</dcterms:created>
  <dcterms:modified xsi:type="dcterms:W3CDTF">2018-05-11T12:14:50Z</dcterms:modified>
  <dc:language>de-CH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